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tabRatio="500" activeTab="3"/>
  </bookViews>
  <sheets>
    <sheet name="1 ДОШ" sheetId="1" r:id="rId1"/>
    <sheet name="2 НОО" sheetId="2" r:id="rId2"/>
    <sheet name="3 ООО" sheetId="3" r:id="rId3"/>
    <sheet name="4 СОО" sheetId="4" r:id="rId4"/>
    <sheet name="5 СД" sheetId="5" r:id="rId5"/>
    <sheet name="6 СПО " sheetId="6" r:id="rId6"/>
    <sheet name="7 ПиУ" sheetId="7" r:id="rId7"/>
  </sheets>
  <definedNames>
    <definedName name="_xlnm._FilterDatabase" localSheetId="2" hidden="1">'3 ООО'!$A$12:$I$13</definedName>
    <definedName name="_xlnm._FilterDatabase" localSheetId="3" hidden="1">'4 СОО'!$B$1:$B$91</definedName>
    <definedName name="_xlnm._FilterDatabase" localSheetId="5" hidden="1">'6 СПО '!$A$11:$P$384</definedName>
    <definedName name="Excel_BuiltIn__FilterDatabase" localSheetId="1">'2 НОО'!$B$1:$B$109</definedName>
    <definedName name="Excel_BuiltIn__FilterDatabase" localSheetId="2">'3 ООО'!$A$12:$I$13</definedName>
    <definedName name="Excel_BuiltIn__FilterDatabase" localSheetId="3">'4 СОО'!$B$1:$B$91</definedName>
    <definedName name="Excel_BuiltIn__FilterDatabase" localSheetId="5">'6 СПО '!$A$11:$N$365</definedName>
    <definedName name="Excel_BuiltIn_Print_Area" localSheetId="0">'1 ДОШ'!$A$1:$I$25</definedName>
    <definedName name="Excel_BuiltIn_Print_Area" localSheetId="1">'2 НОО'!$A$1:$I$110</definedName>
    <definedName name="Excel_BuiltIn_Print_Area" localSheetId="2">'3 ООО'!$A$3:$I$117</definedName>
    <definedName name="Excel_BuiltIn_Print_Area" localSheetId="3">'4 СОО'!$A$2:$I$92</definedName>
    <definedName name="Excel_BuiltIn_Print_Area" localSheetId="4">'5 СД'!$A$3:$I$68</definedName>
    <definedName name="Excel_BuiltIn_Print_Area" localSheetId="5">'6 СПО '!$D$2:$P$389</definedName>
    <definedName name="Excel_BuiltIn_Print_Area" localSheetId="6">'7 ПиУ'!$A$1:$J$20</definedName>
    <definedName name="Excel_BuiltIn_Print_Titles" localSheetId="1">'2 НОО'!$12:$13</definedName>
    <definedName name="Excel_BuiltIn_Print_Titles" localSheetId="2">'3 ООО'!$12:$13</definedName>
    <definedName name="Excel_BuiltIn_Print_Titles" localSheetId="3">'4 СОО'!$12:$13</definedName>
    <definedName name="Excel_BuiltIn_Print_Titles" localSheetId="4">'5 СД'!$11:$12</definedName>
    <definedName name="Excel_BuiltIn_Print_Titles" localSheetId="5">'6 СПО '!$11:$12</definedName>
    <definedName name="Excel_BuiltIn_Print_Titles" localSheetId="6">'7 ПиУ'!$10:$11</definedName>
    <definedName name="XDO_?ACTDOMCODE?" localSheetId="5">'6 СПО '!$A$13:$A$358</definedName>
    <definedName name="XDO_?ACTDOMCODE?">#REF!</definedName>
    <definedName name="XDO_?CSMCTGY_NAME?" localSheetId="5">'6 СПО '!$J$13:$J$359</definedName>
    <definedName name="XDO_?CSMCTGY_NAME?">#REF!</definedName>
    <definedName name="XDO_?inst_Fullname?" localSheetId="5">'6 СПО '!#REF!</definedName>
    <definedName name="XDO_?inst_Fullname?" localSheetId="6">#REF!</definedName>
    <definedName name="XDO_?inst_Fullname?">#REF!</definedName>
    <definedName name="XDO_?INST_NAME?" localSheetId="5">'6 СПО '!$I$13:$I$359</definedName>
    <definedName name="XDO_?INST_NAME?">#REF!</definedName>
    <definedName name="XDO_?INSTKND_NAME?" localSheetId="5">'6 СПО '!#REF!</definedName>
    <definedName name="XDO_?INSTKND_NAME?" localSheetId="6">#REF!</definedName>
    <definedName name="XDO_?INSTKND_NAME?">#REF!</definedName>
    <definedName name="XDO_?LGLACT_APPROVEDBY?" localSheetId="5">'6 СПО '!#REF!</definedName>
    <definedName name="XDO_?LGLACT_APPROVEDBY?" localSheetId="6">#REF!</definedName>
    <definedName name="XDO_?LGLACT_APPROVEDBY?">#REF!</definedName>
    <definedName name="XDO_?LGLACT_APPRVDAT?" localSheetId="5">'6 СПО '!#REF!</definedName>
    <definedName name="XDO_?LGLACT_APPRVDAT?" localSheetId="6">#REF!</definedName>
    <definedName name="XDO_?LGLACT_APPRVDAT?">#REF!</definedName>
    <definedName name="XDO_?LGLACT_NAME?" localSheetId="5">'6 СПО '!#REF!</definedName>
    <definedName name="XDO_?LGLACT_NAME?" localSheetId="6">#REF!</definedName>
    <definedName name="XDO_?LGLACT_NAME?">#REF!</definedName>
    <definedName name="XDO_?NAME_1?" localSheetId="5">'6 СПО '!#REF!</definedName>
    <definedName name="XDO_?NAME_1?" localSheetId="6">#REF!</definedName>
    <definedName name="XDO_?NAME_1?">#REF!</definedName>
    <definedName name="XDO_?NAME_2?" localSheetId="5">'6 СПО '!#REF!</definedName>
    <definedName name="XDO_?NAME_2?" localSheetId="6">#REF!</definedName>
    <definedName name="XDO_?NAME_2?">#REF!</definedName>
    <definedName name="XDO_?NAME_CODE?" localSheetId="5">'6 СПО '!$C$13:$C$358</definedName>
    <definedName name="XDO_?NAME_CODE?">#REF!</definedName>
    <definedName name="XDO_?NAME_NAME?" localSheetId="5">'6 СПО '!$E$13:$E$359</definedName>
    <definedName name="XDO_?NAME_NAME?">#REF!</definedName>
    <definedName name="XDO_?NPA_DESCRIPTIONS?" localSheetId="5">'6 СПО '!#REF!</definedName>
    <definedName name="XDO_?NPA_DESCRIPTIONS?" localSheetId="6">#REF!</definedName>
    <definedName name="XDO_?NPA_DESCRIPTIONS?">#REF!</definedName>
    <definedName name="XDO_?QI_NAME?" localSheetId="5">'6 СПО '!$L$13:$L$359</definedName>
    <definedName name="XDO_?QI_NAME?">#REF!</definedName>
    <definedName name="XDO_?RCA_CODE?" localSheetId="5">'6 СПО '!#REF!</definedName>
    <definedName name="XDO_?RCA_CODE?" localSheetId="6">#REF!</definedName>
    <definedName name="XDO_?RCA_CODE?">#REF!</definedName>
    <definedName name="XDO_?REGRNUMBER?" localSheetId="5">'6 СПО '!$B$13:$B$358</definedName>
    <definedName name="XDO_?REGRNUMBER?">#REF!</definedName>
    <definedName name="XDO_?RUCLSPRECACS_CODE?" localSheetId="5">'6 СПО '!#REF!</definedName>
    <definedName name="XDO_?RUCLSPRECACS_CODE?" localSheetId="6">#REF!</definedName>
    <definedName name="XDO_?RUCLSPRECACS_CODE?">#REF!</definedName>
    <definedName name="XDO_?SC_NAME_1?" localSheetId="5">'6 СПО '!$G$13:$G$359</definedName>
    <definedName name="XDO_?SC_NAME_1?">#REF!</definedName>
    <definedName name="XDO_?SC_NAME_2?" localSheetId="5">'6 СПО '!#REF!</definedName>
    <definedName name="XDO_?SC_NAME_2?" localSheetId="6">#REF!</definedName>
    <definedName name="XDO_?SC_NAME_2?">#REF!</definedName>
    <definedName name="XDO_?SC_NAME_3?" localSheetId="5">'6 СПО '!#REF!</definedName>
    <definedName name="XDO_?SC_NAME_3?" localSheetId="6">#REF!</definedName>
    <definedName name="XDO_?SC_NAME_3?">#REF!</definedName>
    <definedName name="XDO_?Service_Belong210FL?" localSheetId="5">'6 СПО '!$M$13:$M$359</definedName>
    <definedName name="XDO_?Service_Belong210FL?">#REF!</definedName>
    <definedName name="XDO_?Service_NcsrlyBelong210FL?" localSheetId="5">'6 СПО '!$N$13:$N$359</definedName>
    <definedName name="XDO_?Service_NcsrlyBelong210FL?">#REF!</definedName>
    <definedName name="XDO_?SVCKIND?" localSheetId="5">'6 СПО '!#REF!</definedName>
    <definedName name="XDO_?SVCKIND?" localSheetId="6">#REF!</definedName>
    <definedName name="XDO_?SVCKIND?">#REF!</definedName>
    <definedName name="XDO_?SVCPAID?" localSheetId="5">'6 СПО '!#REF!</definedName>
    <definedName name="XDO_?SVCPAID?" localSheetId="6">#REF!</definedName>
    <definedName name="XDO_?SVCPAID?">#REF!</definedName>
    <definedName name="XDO_?VOLIND_NAME?" localSheetId="5">'6 СПО '!$K$13:$K$359</definedName>
    <definedName name="XDO_?VOLIND_NAME?">#REF!</definedName>
    <definedName name="XDO_GROUP_?HEADER?" localSheetId="5">'6 СПО '!$A$3:$N$9</definedName>
    <definedName name="XDO_GROUP_?HEADER?">#REF!</definedName>
    <definedName name="XDO_GROUP_?SERVICE_LIST?" localSheetId="5">'6 СПО '!$A$13:$N$358</definedName>
    <definedName name="XDO_GROUP_?SERVICE_LIST?">#REF!</definedName>
    <definedName name="_xlnm.Print_Titles" localSheetId="1">'2 НОО'!$12:$13</definedName>
    <definedName name="_xlnm.Print_Titles" localSheetId="2">'3 ООО'!$12:$13</definedName>
    <definedName name="_xlnm.Print_Titles" localSheetId="3">'4 СОО'!$12:$13</definedName>
    <definedName name="_xlnm.Print_Titles" localSheetId="4">'5 СД'!$11:$12</definedName>
    <definedName name="_xlnm.Print_Titles" localSheetId="5">'6 СПО '!$11:$12</definedName>
    <definedName name="_xlnm.Print_Titles" localSheetId="6">'7 ПиУ'!$10:$11</definedName>
    <definedName name="_xlnm.Print_Area" localSheetId="0">'1 ДОШ'!$A$1:$I$25</definedName>
    <definedName name="_xlnm.Print_Area" localSheetId="1">'2 НОО'!$A$1:$I$110</definedName>
    <definedName name="_xlnm.Print_Area" localSheetId="2">'3 ООО'!$A$3:$I$117</definedName>
    <definedName name="_xlnm.Print_Area" localSheetId="3">'4 СОО'!$A$2:$I$92</definedName>
    <definedName name="_xlnm.Print_Area" localSheetId="4">'5 СД'!$A$3:$I$68</definedName>
    <definedName name="_xlnm.Print_Area" localSheetId="5">'6 СПО '!$D$2:$P$389</definedName>
    <definedName name="_xlnm.Print_Area" localSheetId="6">'7 ПиУ'!$A$1:$J$20</definedName>
  </definedNames>
  <calcPr calcId="124519" fullCalcOnLoad="1"/>
</workbook>
</file>

<file path=xl/calcChain.xml><?xml version="1.0" encoding="utf-8"?>
<calcChain xmlns="http://schemas.openxmlformats.org/spreadsheetml/2006/main">
  <c r="F55" i="5"/>
  <c r="D55"/>
  <c r="N146" i="6"/>
  <c r="N138"/>
  <c r="K277"/>
  <c r="M166"/>
  <c r="K166"/>
  <c r="M79"/>
  <c r="K79"/>
  <c r="F55" i="3"/>
  <c r="D55"/>
  <c r="F30" i="5"/>
  <c r="D30"/>
  <c r="G12" i="7"/>
  <c r="E12"/>
  <c r="G14"/>
  <c r="E14"/>
  <c r="G13"/>
  <c r="E13"/>
  <c r="D13" i="1"/>
  <c r="M383" i="6"/>
  <c r="K383"/>
  <c r="K85"/>
  <c r="F102" i="3"/>
  <c r="D102"/>
  <c r="F95" i="2"/>
  <c r="D95"/>
  <c r="F110" i="3"/>
  <c r="D110"/>
  <c r="F104" i="2"/>
  <c r="D104"/>
  <c r="F101" i="3"/>
  <c r="D101"/>
  <c r="F81"/>
  <c r="D81"/>
  <c r="F109"/>
  <c r="D109"/>
  <c r="F103" i="2"/>
  <c r="D103"/>
  <c r="F108" i="3"/>
  <c r="D108"/>
  <c r="F102" i="2"/>
  <c r="D102"/>
  <c r="F98"/>
  <c r="D98"/>
  <c r="F39" i="5"/>
  <c r="D39"/>
  <c r="F87" i="3"/>
  <c r="D87"/>
  <c r="F80" i="2"/>
  <c r="D80"/>
  <c r="F44" i="5"/>
  <c r="D44"/>
  <c r="F91" i="3"/>
  <c r="D91"/>
  <c r="F92" i="2"/>
  <c r="D92"/>
  <c r="F48" i="5"/>
  <c r="D48"/>
  <c r="F94" i="3"/>
  <c r="D94"/>
  <c r="F45" i="5"/>
  <c r="D45"/>
  <c r="F84" i="3"/>
  <c r="D84"/>
  <c r="F77" i="2"/>
  <c r="D77"/>
  <c r="F88"/>
  <c r="D88"/>
  <c r="F53" i="5"/>
  <c r="D53"/>
  <c r="F98" i="3"/>
  <c r="D98"/>
  <c r="F91" i="2"/>
  <c r="D91"/>
  <c r="F71"/>
  <c r="D71"/>
  <c r="F51" i="5"/>
  <c r="D51"/>
  <c r="F78" i="4"/>
  <c r="D78"/>
  <c r="F97" i="3"/>
  <c r="D97"/>
  <c r="F81" i="2"/>
  <c r="D81"/>
  <c r="F57" i="5"/>
  <c r="D57"/>
  <c r="F103" i="3"/>
  <c r="D103"/>
  <c r="F96" i="2"/>
  <c r="D96"/>
  <c r="F42" i="5"/>
  <c r="D42"/>
  <c r="F83" i="2"/>
  <c r="D83"/>
  <c r="F79" i="3"/>
  <c r="D79"/>
  <c r="F72" i="2"/>
  <c r="D72"/>
  <c r="F38" i="3"/>
  <c r="D38"/>
  <c r="F36" i="2"/>
  <c r="D36"/>
  <c r="F17" i="1"/>
  <c r="D17"/>
  <c r="F69" i="2"/>
  <c r="D69"/>
  <c r="F22" i="1"/>
  <c r="D22"/>
  <c r="F27" i="5"/>
  <c r="D27"/>
  <c r="F60" i="4"/>
  <c r="D60"/>
  <c r="F57" i="2"/>
  <c r="D57"/>
  <c r="F57" i="4"/>
  <c r="D57"/>
  <c r="F54" i="2"/>
  <c r="D54"/>
  <c r="F56" i="3"/>
  <c r="D56"/>
  <c r="F52" i="2"/>
  <c r="D52"/>
  <c r="F54" i="4"/>
  <c r="D54"/>
  <c r="F46" i="3"/>
  <c r="D46"/>
  <c r="F43" i="2"/>
  <c r="D43"/>
  <c r="F59" i="4"/>
  <c r="D59"/>
  <c r="F60" i="3"/>
  <c r="D60"/>
  <c r="F56" i="2"/>
  <c r="D56"/>
  <c r="F58" i="4"/>
  <c r="D58"/>
  <c r="F27"/>
  <c r="D27"/>
  <c r="F28" i="3"/>
  <c r="D28"/>
  <c r="F27" i="2"/>
  <c r="D27"/>
  <c r="F26" i="4"/>
  <c r="D26"/>
  <c r="F27" i="3"/>
  <c r="D27"/>
  <c r="F26" i="2"/>
  <c r="D26"/>
  <c r="F18" i="3"/>
  <c r="D18"/>
  <c r="F16" i="4"/>
  <c r="D16"/>
  <c r="F40" i="3"/>
  <c r="D40"/>
  <c r="F38" i="2"/>
  <c r="D38"/>
  <c r="F65" i="4"/>
  <c r="D65"/>
  <c r="F66" i="3"/>
  <c r="D66"/>
  <c r="F61" i="2"/>
  <c r="D61"/>
  <c r="F50" i="4"/>
  <c r="D50"/>
  <c r="F51" i="3"/>
  <c r="D51"/>
  <c r="F48" i="2"/>
  <c r="D48"/>
  <c r="F52" i="4"/>
  <c r="D52"/>
  <c r="F53" i="3"/>
  <c r="D53"/>
  <c r="D49" i="2"/>
  <c r="F21" i="5"/>
  <c r="D21"/>
  <c r="F45" i="2"/>
  <c r="D45"/>
  <c r="F43" i="4"/>
  <c r="D43"/>
  <c r="F43" i="3"/>
  <c r="D43"/>
  <c r="F40" i="2"/>
  <c r="D40"/>
  <c r="F39" i="3"/>
  <c r="D39"/>
  <c r="F37" i="2"/>
  <c r="D37"/>
  <c r="I88" i="4"/>
  <c r="H88"/>
  <c r="E88"/>
  <c r="G87"/>
  <c r="I112" i="3"/>
  <c r="H112"/>
  <c r="I106" i="2"/>
  <c r="H106"/>
  <c r="E112" i="3"/>
  <c r="G111"/>
  <c r="E106" i="2"/>
  <c r="F17" i="5"/>
  <c r="D17"/>
  <c r="F33" i="3"/>
  <c r="D33"/>
  <c r="F31" i="2"/>
  <c r="D31"/>
  <c r="F30" i="3"/>
  <c r="D30"/>
  <c r="F28" i="2"/>
  <c r="D28"/>
  <c r="F23" i="3"/>
  <c r="D23"/>
  <c r="F22" i="2"/>
  <c r="D22"/>
  <c r="F14" i="4"/>
  <c r="D14"/>
  <c r="F14" i="2"/>
  <c r="D14"/>
  <c r="F22" i="4"/>
  <c r="D22"/>
  <c r="F21" i="2"/>
  <c r="D21"/>
  <c r="F35" i="4"/>
  <c r="D35"/>
  <c r="F46"/>
  <c r="D46"/>
  <c r="F47" i="3"/>
  <c r="D47"/>
  <c r="F44" i="2"/>
  <c r="D44"/>
  <c r="F62" i="3"/>
  <c r="D63"/>
  <c r="D62"/>
  <c r="F58" i="2"/>
  <c r="D58"/>
  <c r="F25" i="4"/>
  <c r="D25"/>
  <c r="D26" i="3"/>
  <c r="F25" i="2"/>
  <c r="D25"/>
  <c r="F74" i="3"/>
  <c r="D74"/>
  <c r="F58" i="5"/>
  <c r="D58"/>
  <c r="F97" i="2"/>
  <c r="D97"/>
  <c r="F33"/>
  <c r="D33"/>
  <c r="F56" i="4"/>
  <c r="D56"/>
  <c r="F57" i="3"/>
  <c r="D57"/>
  <c r="F53" i="2"/>
  <c r="D53"/>
  <c r="M77" i="6"/>
  <c r="K77"/>
  <c r="M153"/>
  <c r="K153"/>
  <c r="M314"/>
  <c r="K314"/>
  <c r="M263"/>
  <c r="K263"/>
  <c r="M56"/>
  <c r="K56"/>
  <c r="M384"/>
  <c r="K384"/>
  <c r="M45"/>
  <c r="K45"/>
  <c r="M377"/>
  <c r="K377"/>
  <c r="M71"/>
  <c r="K71"/>
  <c r="M173"/>
  <c r="K173"/>
  <c r="M307"/>
  <c r="K307"/>
  <c r="M305"/>
  <c r="K305"/>
  <c r="M249"/>
  <c r="K249"/>
  <c r="M291"/>
  <c r="K291"/>
  <c r="M290"/>
  <c r="K290"/>
  <c r="M259"/>
  <c r="K259"/>
  <c r="M241"/>
  <c r="K241"/>
  <c r="M233"/>
  <c r="K233"/>
  <c r="M218"/>
  <c r="K218"/>
  <c r="M205"/>
  <c r="K205"/>
  <c r="M160"/>
  <c r="K160"/>
  <c r="M107"/>
  <c r="K107"/>
  <c r="M88"/>
  <c r="K88"/>
  <c r="M80"/>
  <c r="K80"/>
  <c r="M57"/>
  <c r="K57"/>
  <c r="M16"/>
  <c r="K16"/>
  <c r="M15"/>
  <c r="K15"/>
  <c r="M44"/>
  <c r="K44"/>
  <c r="M352"/>
  <c r="K352"/>
  <c r="M300"/>
  <c r="K300"/>
  <c r="M311"/>
  <c r="K311"/>
  <c r="M126"/>
  <c r="K126"/>
  <c r="M353"/>
  <c r="K353"/>
  <c r="M304"/>
  <c r="K304"/>
  <c r="M303"/>
  <c r="K303"/>
  <c r="M302"/>
  <c r="K302"/>
  <c r="M282"/>
  <c r="K282"/>
  <c r="M258"/>
  <c r="K258"/>
  <c r="M212"/>
  <c r="K212"/>
  <c r="M158"/>
  <c r="K158"/>
  <c r="M124"/>
  <c r="K124"/>
  <c r="M33"/>
  <c r="K33"/>
  <c r="M136"/>
  <c r="K136"/>
  <c r="M206"/>
  <c r="K206"/>
  <c r="M162"/>
  <c r="K162"/>
  <c r="M252"/>
  <c r="K252"/>
  <c r="M294"/>
  <c r="K294"/>
  <c r="M231"/>
  <c r="K231"/>
  <c r="M197"/>
  <c r="K197"/>
  <c r="M125"/>
  <c r="K125"/>
  <c r="M333"/>
  <c r="K333"/>
  <c r="M247"/>
  <c r="K247"/>
  <c r="M150"/>
  <c r="K150"/>
  <c r="M200"/>
  <c r="K200"/>
  <c r="M254"/>
  <c r="K254"/>
  <c r="M308"/>
  <c r="K308"/>
  <c r="M238"/>
  <c r="K238"/>
  <c r="M191"/>
  <c r="K191"/>
  <c r="M132"/>
  <c r="K132"/>
  <c r="M96"/>
  <c r="K96"/>
  <c r="M237"/>
  <c r="K237"/>
  <c r="M234"/>
  <c r="K234"/>
  <c r="M195"/>
  <c r="K195"/>
  <c r="M135"/>
  <c r="K135"/>
  <c r="M95"/>
  <c r="K95"/>
  <c r="M93"/>
  <c r="K93"/>
  <c r="M92"/>
  <c r="K92"/>
  <c r="M83"/>
  <c r="K83"/>
  <c r="M194"/>
  <c r="K194"/>
  <c r="M49"/>
  <c r="K49"/>
  <c r="M131"/>
  <c r="K131"/>
  <c r="M236"/>
  <c r="K236"/>
  <c r="M374"/>
  <c r="K374"/>
  <c r="M315"/>
  <c r="K315"/>
  <c r="K299"/>
  <c r="M204"/>
  <c r="K204"/>
  <c r="M203"/>
  <c r="K203"/>
  <c r="F13" i="1"/>
  <c r="G13"/>
  <c r="G14"/>
  <c r="G15"/>
  <c r="C16"/>
  <c r="D16"/>
  <c r="F16"/>
  <c r="C17"/>
  <c r="G17"/>
  <c r="C18"/>
  <c r="D18"/>
  <c r="F18"/>
  <c r="G19"/>
  <c r="C20"/>
  <c r="F20"/>
  <c r="C21"/>
  <c r="D21"/>
  <c r="G21"/>
  <c r="F21"/>
  <c r="G23"/>
  <c r="G24"/>
  <c r="E25"/>
  <c r="H25"/>
  <c r="I25"/>
  <c r="C14" i="2"/>
  <c r="G14"/>
  <c r="C15"/>
  <c r="D15"/>
  <c r="D106"/>
  <c r="F15"/>
  <c r="C17"/>
  <c r="D17"/>
  <c r="F17"/>
  <c r="G18"/>
  <c r="G20"/>
  <c r="C21"/>
  <c r="G21"/>
  <c r="C22"/>
  <c r="G22"/>
  <c r="C23"/>
  <c r="D23"/>
  <c r="F23"/>
  <c r="G24"/>
  <c r="C26"/>
  <c r="G26"/>
  <c r="G27"/>
  <c r="C28"/>
  <c r="G28"/>
  <c r="C29"/>
  <c r="D29"/>
  <c r="G29"/>
  <c r="F29"/>
  <c r="C30"/>
  <c r="D30"/>
  <c r="F30"/>
  <c r="G31"/>
  <c r="C32"/>
  <c r="D32"/>
  <c r="F32"/>
  <c r="C33"/>
  <c r="G33"/>
  <c r="G34"/>
  <c r="G35"/>
  <c r="C36"/>
  <c r="G36"/>
  <c r="C37"/>
  <c r="G37"/>
  <c r="C38"/>
  <c r="G38"/>
  <c r="G39"/>
  <c r="G40"/>
  <c r="G41"/>
  <c r="C43"/>
  <c r="G43"/>
  <c r="C44"/>
  <c r="C45"/>
  <c r="G45"/>
  <c r="G46"/>
  <c r="G47"/>
  <c r="G48"/>
  <c r="C49"/>
  <c r="G49"/>
  <c r="F49"/>
  <c r="D50"/>
  <c r="F50"/>
  <c r="G51"/>
  <c r="G52"/>
  <c r="G53"/>
  <c r="C54"/>
  <c r="G54"/>
  <c r="G55"/>
  <c r="C56"/>
  <c r="G56"/>
  <c r="C57"/>
  <c r="G57"/>
  <c r="G58"/>
  <c r="D59"/>
  <c r="F59"/>
  <c r="G59"/>
  <c r="G60"/>
  <c r="C61"/>
  <c r="G61"/>
  <c r="G62"/>
  <c r="C63"/>
  <c r="D63"/>
  <c r="F63"/>
  <c r="C64"/>
  <c r="D64"/>
  <c r="F64"/>
  <c r="G65"/>
  <c r="G66"/>
  <c r="G67"/>
  <c r="G68"/>
  <c r="G69"/>
  <c r="G71"/>
  <c r="C72"/>
  <c r="G72"/>
  <c r="G73"/>
  <c r="G75"/>
  <c r="G76"/>
  <c r="G77"/>
  <c r="G78"/>
  <c r="C79"/>
  <c r="D79"/>
  <c r="F79"/>
  <c r="C80"/>
  <c r="G80"/>
  <c r="G81"/>
  <c r="G82"/>
  <c r="G83"/>
  <c r="G84"/>
  <c r="G85"/>
  <c r="G86"/>
  <c r="G87"/>
  <c r="C88"/>
  <c r="G88"/>
  <c r="G89"/>
  <c r="G90"/>
  <c r="C91"/>
  <c r="G91"/>
  <c r="G92"/>
  <c r="G93"/>
  <c r="G94"/>
  <c r="G95"/>
  <c r="C96"/>
  <c r="C97"/>
  <c r="G97"/>
  <c r="G98"/>
  <c r="G99"/>
  <c r="D100"/>
  <c r="G100"/>
  <c r="F100"/>
  <c r="G101"/>
  <c r="G102"/>
  <c r="G103"/>
  <c r="C104"/>
  <c r="G104"/>
  <c r="G14" i="3"/>
  <c r="G15"/>
  <c r="G16"/>
  <c r="C17"/>
  <c r="D17"/>
  <c r="F17"/>
  <c r="C18"/>
  <c r="G19"/>
  <c r="C21"/>
  <c r="G21"/>
  <c r="D21"/>
  <c r="F21"/>
  <c r="C22"/>
  <c r="F22"/>
  <c r="G22"/>
  <c r="C23"/>
  <c r="C24"/>
  <c r="D24"/>
  <c r="F24"/>
  <c r="G25"/>
  <c r="C26"/>
  <c r="F26"/>
  <c r="C27"/>
  <c r="G27"/>
  <c r="G28"/>
  <c r="G29"/>
  <c r="C30"/>
  <c r="C31"/>
  <c r="D31"/>
  <c r="F31"/>
  <c r="C32"/>
  <c r="D32"/>
  <c r="F32"/>
  <c r="G33"/>
  <c r="G34"/>
  <c r="G35"/>
  <c r="G36"/>
  <c r="G37"/>
  <c r="G38"/>
  <c r="C40"/>
  <c r="G41"/>
  <c r="C42"/>
  <c r="D42"/>
  <c r="F42"/>
  <c r="G43"/>
  <c r="C44"/>
  <c r="F44"/>
  <c r="G45"/>
  <c r="C46"/>
  <c r="G46"/>
  <c r="C47"/>
  <c r="G47"/>
  <c r="C48"/>
  <c r="F48"/>
  <c r="G48"/>
  <c r="G49"/>
  <c r="G50"/>
  <c r="C51"/>
  <c r="G51"/>
  <c r="C53"/>
  <c r="C54"/>
  <c r="D54"/>
  <c r="F54"/>
  <c r="G55"/>
  <c r="C56"/>
  <c r="G56"/>
  <c r="C57"/>
  <c r="G57"/>
  <c r="C58"/>
  <c r="F58"/>
  <c r="G59"/>
  <c r="C60"/>
  <c r="G60"/>
  <c r="C61"/>
  <c r="F61"/>
  <c r="C63"/>
  <c r="F63"/>
  <c r="G64"/>
  <c r="C65"/>
  <c r="D65"/>
  <c r="F65"/>
  <c r="C66"/>
  <c r="G67"/>
  <c r="C69"/>
  <c r="D69"/>
  <c r="F69"/>
  <c r="C70"/>
  <c r="D70"/>
  <c r="F70"/>
  <c r="G71"/>
  <c r="G72"/>
  <c r="G73"/>
  <c r="G75"/>
  <c r="C76"/>
  <c r="F76"/>
  <c r="G77"/>
  <c r="G78"/>
  <c r="G79"/>
  <c r="G80"/>
  <c r="C81"/>
  <c r="G82"/>
  <c r="G83"/>
  <c r="G84"/>
  <c r="G85"/>
  <c r="C86"/>
  <c r="D86"/>
  <c r="F86"/>
  <c r="C87"/>
  <c r="G87"/>
  <c r="G88"/>
  <c r="C90"/>
  <c r="F90"/>
  <c r="G91"/>
  <c r="G92"/>
  <c r="G93"/>
  <c r="C94"/>
  <c r="G94"/>
  <c r="C95"/>
  <c r="F95"/>
  <c r="G96"/>
  <c r="C97"/>
  <c r="G97"/>
  <c r="C98"/>
  <c r="G99"/>
  <c r="C100"/>
  <c r="F100"/>
  <c r="C101"/>
  <c r="G101"/>
  <c r="G102"/>
  <c r="C103"/>
  <c r="G103"/>
  <c r="C104"/>
  <c r="F104"/>
  <c r="G105"/>
  <c r="C106"/>
  <c r="D106"/>
  <c r="F106"/>
  <c r="G107"/>
  <c r="C108"/>
  <c r="C109"/>
  <c r="G109"/>
  <c r="C110"/>
  <c r="G15" i="4"/>
  <c r="C16"/>
  <c r="G16"/>
  <c r="D17"/>
  <c r="F17"/>
  <c r="G18"/>
  <c r="G19"/>
  <c r="C21"/>
  <c r="D21"/>
  <c r="F21"/>
  <c r="C22"/>
  <c r="G22"/>
  <c r="G23"/>
  <c r="G24"/>
  <c r="C25"/>
  <c r="C26"/>
  <c r="G26"/>
  <c r="G27"/>
  <c r="G28"/>
  <c r="G29"/>
  <c r="C31"/>
  <c r="D31"/>
  <c r="F31"/>
  <c r="G32"/>
  <c r="C33"/>
  <c r="G33"/>
  <c r="D33"/>
  <c r="F33"/>
  <c r="G34"/>
  <c r="G35"/>
  <c r="G36"/>
  <c r="G37"/>
  <c r="G38"/>
  <c r="G39"/>
  <c r="G40"/>
  <c r="C41"/>
  <c r="D41"/>
  <c r="F41"/>
  <c r="G42"/>
  <c r="C43"/>
  <c r="G44"/>
  <c r="G45"/>
  <c r="C46"/>
  <c r="C47"/>
  <c r="F47"/>
  <c r="G48"/>
  <c r="G49"/>
  <c r="G50"/>
  <c r="C51"/>
  <c r="D51"/>
  <c r="F51"/>
  <c r="C52"/>
  <c r="G52"/>
  <c r="C53"/>
  <c r="D53"/>
  <c r="F53"/>
  <c r="C54"/>
  <c r="G55"/>
  <c r="C56"/>
  <c r="C57"/>
  <c r="C58"/>
  <c r="G58"/>
  <c r="C59"/>
  <c r="G59"/>
  <c r="C60"/>
  <c r="G60"/>
  <c r="C62"/>
  <c r="G62"/>
  <c r="D62"/>
  <c r="F62"/>
  <c r="G63"/>
  <c r="C64"/>
  <c r="D64"/>
  <c r="F64"/>
  <c r="C65"/>
  <c r="G66"/>
  <c r="D67"/>
  <c r="F67"/>
  <c r="G67"/>
  <c r="C68"/>
  <c r="F68"/>
  <c r="G68"/>
  <c r="G69"/>
  <c r="C70"/>
  <c r="D70"/>
  <c r="G70"/>
  <c r="F70"/>
  <c r="C71"/>
  <c r="D71"/>
  <c r="F71"/>
  <c r="C72"/>
  <c r="F72"/>
  <c r="G73"/>
  <c r="G75"/>
  <c r="G76"/>
  <c r="G77"/>
  <c r="C78"/>
  <c r="G78"/>
  <c r="G79"/>
  <c r="G80"/>
  <c r="G81"/>
  <c r="G82"/>
  <c r="G83"/>
  <c r="G84"/>
  <c r="G85"/>
  <c r="G86"/>
  <c r="G13" i="5"/>
  <c r="G14"/>
  <c r="G15"/>
  <c r="G16"/>
  <c r="C18"/>
  <c r="F18"/>
  <c r="G19"/>
  <c r="G20"/>
  <c r="G21"/>
  <c r="C22"/>
  <c r="D22"/>
  <c r="F22"/>
  <c r="C23"/>
  <c r="G23"/>
  <c r="D23"/>
  <c r="F23"/>
  <c r="G24"/>
  <c r="G25"/>
  <c r="G26"/>
  <c r="C27"/>
  <c r="G28"/>
  <c r="G29"/>
  <c r="G30"/>
  <c r="G31"/>
  <c r="G32"/>
  <c r="G33"/>
  <c r="G34"/>
  <c r="G35"/>
  <c r="G36"/>
  <c r="C37"/>
  <c r="D37"/>
  <c r="F37"/>
  <c r="D38"/>
  <c r="F38"/>
  <c r="G39"/>
  <c r="G40"/>
  <c r="G43"/>
  <c r="C42"/>
  <c r="G42"/>
  <c r="G45"/>
  <c r="G46"/>
  <c r="C47"/>
  <c r="D47"/>
  <c r="F47"/>
  <c r="C48"/>
  <c r="G49"/>
  <c r="G50"/>
  <c r="C51"/>
  <c r="C52"/>
  <c r="D52"/>
  <c r="F52"/>
  <c r="C53"/>
  <c r="G53"/>
  <c r="G56"/>
  <c r="C57"/>
  <c r="G57"/>
  <c r="G58"/>
  <c r="G59"/>
  <c r="C60"/>
  <c r="D60"/>
  <c r="F60"/>
  <c r="G61"/>
  <c r="C62"/>
  <c r="F62"/>
  <c r="G62"/>
  <c r="D63"/>
  <c r="E63"/>
  <c r="H63"/>
  <c r="I63"/>
  <c r="J13" i="6"/>
  <c r="M13"/>
  <c r="N13"/>
  <c r="N14"/>
  <c r="J15"/>
  <c r="N15"/>
  <c r="J16"/>
  <c r="N16"/>
  <c r="N17"/>
  <c r="N18"/>
  <c r="N19"/>
  <c r="N20"/>
  <c r="J21"/>
  <c r="M21"/>
  <c r="N22"/>
  <c r="N23"/>
  <c r="N24"/>
  <c r="N25"/>
  <c r="N26"/>
  <c r="N27"/>
  <c r="J28"/>
  <c r="M28"/>
  <c r="N28"/>
  <c r="N29"/>
  <c r="J30"/>
  <c r="M30"/>
  <c r="N30"/>
  <c r="N31"/>
  <c r="N32"/>
  <c r="N33"/>
  <c r="J34"/>
  <c r="N34"/>
  <c r="K34"/>
  <c r="M34"/>
  <c r="J35"/>
  <c r="M35"/>
  <c r="N36"/>
  <c r="N37"/>
  <c r="N38"/>
  <c r="J39"/>
  <c r="N39"/>
  <c r="M39"/>
  <c r="N40"/>
  <c r="N41"/>
  <c r="N42"/>
  <c r="N43"/>
  <c r="J44"/>
  <c r="N44"/>
  <c r="J45"/>
  <c r="N45"/>
  <c r="J46"/>
  <c r="M46"/>
  <c r="N47"/>
  <c r="N48"/>
  <c r="J49"/>
  <c r="N49"/>
  <c r="N50"/>
  <c r="J51"/>
  <c r="M51"/>
  <c r="N52"/>
  <c r="N53"/>
  <c r="N54"/>
  <c r="N55"/>
  <c r="J56"/>
  <c r="J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J77"/>
  <c r="N78"/>
  <c r="N79"/>
  <c r="J80"/>
  <c r="N81"/>
  <c r="N82"/>
  <c r="J83"/>
  <c r="N83"/>
  <c r="N84"/>
  <c r="J85"/>
  <c r="L85"/>
  <c r="M85"/>
  <c r="O85"/>
  <c r="P85"/>
  <c r="N86"/>
  <c r="N87"/>
  <c r="J88"/>
  <c r="N88"/>
  <c r="N89"/>
  <c r="N90"/>
  <c r="J91"/>
  <c r="M91"/>
  <c r="J92"/>
  <c r="J93"/>
  <c r="N94"/>
  <c r="J95"/>
  <c r="N96"/>
  <c r="N97"/>
  <c r="N98"/>
  <c r="N99"/>
  <c r="J100"/>
  <c r="N100"/>
  <c r="M100"/>
  <c r="J101"/>
  <c r="N101"/>
  <c r="M101"/>
  <c r="N102"/>
  <c r="N103"/>
  <c r="N104"/>
  <c r="N105"/>
  <c r="N106"/>
  <c r="J107"/>
  <c r="N107"/>
  <c r="N108"/>
  <c r="N109"/>
  <c r="J110"/>
  <c r="M110"/>
  <c r="N110"/>
  <c r="N111"/>
  <c r="N112"/>
  <c r="N113"/>
  <c r="N114"/>
  <c r="N115"/>
  <c r="N116"/>
  <c r="N117"/>
  <c r="N118"/>
  <c r="N119"/>
  <c r="N120"/>
  <c r="L121"/>
  <c r="N122"/>
  <c r="N123"/>
  <c r="N124"/>
  <c r="N125"/>
  <c r="N126"/>
  <c r="N127"/>
  <c r="J128"/>
  <c r="M128"/>
  <c r="N129"/>
  <c r="N130"/>
  <c r="J131"/>
  <c r="N131"/>
  <c r="N132"/>
  <c r="N133"/>
  <c r="M134"/>
  <c r="N134"/>
  <c r="J135"/>
  <c r="N135"/>
  <c r="J136"/>
  <c r="N136"/>
  <c r="N137"/>
  <c r="N139"/>
  <c r="N140"/>
  <c r="N141"/>
  <c r="N142"/>
  <c r="N143"/>
  <c r="N144"/>
  <c r="N145"/>
  <c r="N147"/>
  <c r="N148"/>
  <c r="M149"/>
  <c r="N149"/>
  <c r="N150"/>
  <c r="N151"/>
  <c r="N152"/>
  <c r="J153"/>
  <c r="N153"/>
  <c r="N154"/>
  <c r="N155"/>
  <c r="N156"/>
  <c r="N157"/>
  <c r="N158"/>
  <c r="L159"/>
  <c r="M159"/>
  <c r="N159"/>
  <c r="O159"/>
  <c r="P159"/>
  <c r="J160"/>
  <c r="N160"/>
  <c r="N161"/>
  <c r="J162"/>
  <c r="N162"/>
  <c r="N163"/>
  <c r="N164"/>
  <c r="N165"/>
  <c r="J166"/>
  <c r="N166"/>
  <c r="N167"/>
  <c r="N168"/>
  <c r="N169"/>
  <c r="N170"/>
  <c r="N171"/>
  <c r="N172"/>
  <c r="N173"/>
  <c r="N174"/>
  <c r="N175"/>
  <c r="N176"/>
  <c r="N177"/>
  <c r="M178"/>
  <c r="N178"/>
  <c r="N179"/>
  <c r="N180"/>
  <c r="N181"/>
  <c r="N182"/>
  <c r="J183"/>
  <c r="M183"/>
  <c r="N184"/>
  <c r="N185"/>
  <c r="N186"/>
  <c r="N187"/>
  <c r="N188"/>
  <c r="N189"/>
  <c r="N190"/>
  <c r="N191"/>
  <c r="N192"/>
  <c r="N193"/>
  <c r="J194"/>
  <c r="N194"/>
  <c r="J195"/>
  <c r="N196"/>
  <c r="N197"/>
  <c r="N198"/>
  <c r="N199"/>
  <c r="N200"/>
  <c r="N201"/>
  <c r="N202"/>
  <c r="J203"/>
  <c r="N203"/>
  <c r="J204"/>
  <c r="J205"/>
  <c r="N206"/>
  <c r="N207"/>
  <c r="J208"/>
  <c r="M208"/>
  <c r="N209"/>
  <c r="N210"/>
  <c r="N211"/>
  <c r="J212"/>
  <c r="N212"/>
  <c r="N213"/>
  <c r="L214"/>
  <c r="N214"/>
  <c r="N215"/>
  <c r="N216"/>
  <c r="N217"/>
  <c r="J218"/>
  <c r="N218"/>
  <c r="N219"/>
  <c r="N220"/>
  <c r="N221"/>
  <c r="N222"/>
  <c r="N223"/>
  <c r="N224"/>
  <c r="N225"/>
  <c r="N226"/>
  <c r="J227"/>
  <c r="N227"/>
  <c r="M227"/>
  <c r="N228"/>
  <c r="N229"/>
  <c r="N230"/>
  <c r="J231"/>
  <c r="N231"/>
  <c r="N232"/>
  <c r="J233"/>
  <c r="N233"/>
  <c r="J234"/>
  <c r="N234"/>
  <c r="N235"/>
  <c r="J236"/>
  <c r="N236"/>
  <c r="J237"/>
  <c r="N237"/>
  <c r="N238"/>
  <c r="N239"/>
  <c r="N240"/>
  <c r="J241"/>
  <c r="N242"/>
  <c r="N243"/>
  <c r="N244"/>
  <c r="N245"/>
  <c r="N246"/>
  <c r="N247"/>
  <c r="N248"/>
  <c r="N249"/>
  <c r="N250"/>
  <c r="N251"/>
  <c r="N252"/>
  <c r="J253"/>
  <c r="N253"/>
  <c r="N254"/>
  <c r="N255"/>
  <c r="N256"/>
  <c r="N257"/>
  <c r="N258"/>
  <c r="J259"/>
  <c r="N260"/>
  <c r="N261"/>
  <c r="N262"/>
  <c r="J263"/>
  <c r="N264"/>
  <c r="N265"/>
  <c r="N266"/>
  <c r="N267"/>
  <c r="N268"/>
  <c r="N269"/>
  <c r="N270"/>
  <c r="N271"/>
  <c r="N272"/>
  <c r="L273"/>
  <c r="M273"/>
  <c r="N274"/>
  <c r="N275"/>
  <c r="N276"/>
  <c r="N277"/>
  <c r="N278"/>
  <c r="N279"/>
  <c r="N280"/>
  <c r="N281"/>
  <c r="J282"/>
  <c r="N282"/>
  <c r="N283"/>
  <c r="N284"/>
  <c r="N285"/>
  <c r="N286"/>
  <c r="N287"/>
  <c r="N288"/>
  <c r="N289"/>
  <c r="J290"/>
  <c r="N290"/>
  <c r="J291"/>
  <c r="N291"/>
  <c r="N292"/>
  <c r="N293"/>
  <c r="J294"/>
  <c r="N294"/>
  <c r="N295"/>
  <c r="N296"/>
  <c r="N297"/>
  <c r="N298"/>
  <c r="J299"/>
  <c r="N299"/>
  <c r="N300"/>
  <c r="N301"/>
  <c r="N302"/>
  <c r="J303"/>
  <c r="N303"/>
  <c r="N304"/>
  <c r="N305"/>
  <c r="N306"/>
  <c r="N307"/>
  <c r="N308"/>
  <c r="N309"/>
  <c r="N310"/>
  <c r="N311"/>
  <c r="N312"/>
  <c r="N313"/>
  <c r="N314"/>
  <c r="J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J352"/>
  <c r="N352"/>
  <c r="N353"/>
  <c r="N354"/>
  <c r="N355"/>
  <c r="J356"/>
  <c r="M356"/>
  <c r="N357"/>
  <c r="N358"/>
  <c r="N359"/>
  <c r="N360"/>
  <c r="N361"/>
  <c r="N362"/>
  <c r="N363"/>
  <c r="N364"/>
  <c r="N365"/>
  <c r="J366"/>
  <c r="M366"/>
  <c r="N367"/>
  <c r="N368"/>
  <c r="J369"/>
  <c r="M369"/>
  <c r="N369"/>
  <c r="N370"/>
  <c r="N371"/>
  <c r="N372"/>
  <c r="N373"/>
  <c r="J374"/>
  <c r="N374"/>
  <c r="N375"/>
  <c r="N376"/>
  <c r="J377"/>
  <c r="N378"/>
  <c r="N379"/>
  <c r="N380"/>
  <c r="N381"/>
  <c r="N382"/>
  <c r="J383"/>
  <c r="N383"/>
  <c r="J384"/>
  <c r="N384"/>
  <c r="L390"/>
  <c r="M390"/>
  <c r="O390"/>
  <c r="P390"/>
  <c r="H12" i="7"/>
  <c r="H13"/>
  <c r="H14"/>
  <c r="D15"/>
  <c r="E15"/>
  <c r="F15"/>
  <c r="G15"/>
  <c r="I15"/>
  <c r="J15"/>
  <c r="N204" i="6"/>
  <c r="J390"/>
  <c r="N263"/>
  <c r="N259"/>
  <c r="G57" i="4"/>
  <c r="G54"/>
  <c r="C63" i="5"/>
  <c r="G56" i="4"/>
  <c r="G53"/>
  <c r="G47"/>
  <c r="G44" i="3"/>
  <c r="G40"/>
  <c r="F25" i="1"/>
  <c r="N205" i="6"/>
  <c r="N121"/>
  <c r="N93"/>
  <c r="N92"/>
  <c r="N377"/>
  <c r="N366"/>
  <c r="N241"/>
  <c r="N95"/>
  <c r="N80"/>
  <c r="N77"/>
  <c r="N57"/>
  <c r="N56"/>
  <c r="G55" i="5"/>
  <c r="G51"/>
  <c r="G48"/>
  <c r="G38"/>
  <c r="G22"/>
  <c r="G86" i="3"/>
  <c r="G72" i="4"/>
  <c r="G71"/>
  <c r="G65"/>
  <c r="G64"/>
  <c r="G51"/>
  <c r="G41"/>
  <c r="G31"/>
  <c r="G25"/>
  <c r="G110" i="3"/>
  <c r="G108"/>
  <c r="G106"/>
  <c r="G98"/>
  <c r="G95"/>
  <c r="G90"/>
  <c r="G81"/>
  <c r="G66"/>
  <c r="G65"/>
  <c r="G53"/>
  <c r="G30"/>
  <c r="G26"/>
  <c r="G24"/>
  <c r="G17"/>
  <c r="G79" i="2"/>
  <c r="G30"/>
  <c r="G17"/>
  <c r="G50"/>
  <c r="G32"/>
  <c r="G46" i="4"/>
  <c r="H15" i="7"/>
  <c r="N315" i="6"/>
  <c r="N208"/>
  <c r="G17" i="4"/>
  <c r="C88"/>
  <c r="F112" i="3"/>
  <c r="D112"/>
  <c r="D88" i="4"/>
  <c r="G88" s="1"/>
  <c r="G76" i="3"/>
  <c r="G69"/>
  <c r="G61"/>
  <c r="C112"/>
  <c r="G112" s="1"/>
  <c r="G96" i="2"/>
  <c r="C106"/>
  <c r="G106"/>
  <c r="F106"/>
  <c r="F88" i="4"/>
  <c r="G63" i="2"/>
  <c r="G15"/>
  <c r="G20" i="1"/>
  <c r="C25"/>
  <c r="G25"/>
  <c r="K390" i="6"/>
  <c r="N128"/>
  <c r="F63" i="5"/>
  <c r="G63"/>
  <c r="N85" i="6"/>
  <c r="G63" i="3"/>
  <c r="G54"/>
  <c r="G23"/>
  <c r="G104"/>
  <c r="G70"/>
  <c r="G58"/>
  <c r="G32"/>
  <c r="G31"/>
  <c r="G64" i="2"/>
  <c r="D25" i="1"/>
  <c r="G18"/>
  <c r="G16"/>
  <c r="N356" i="6"/>
  <c r="N273"/>
  <c r="N91"/>
  <c r="N51"/>
  <c r="N183"/>
  <c r="N46"/>
  <c r="N35"/>
  <c r="N21"/>
  <c r="N390"/>
  <c r="G52" i="5"/>
  <c r="G47"/>
  <c r="G60"/>
</calcChain>
</file>

<file path=xl/sharedStrings.xml><?xml version="1.0" encoding="utf-8"?>
<sst xmlns="http://schemas.openxmlformats.org/spreadsheetml/2006/main" count="2545" uniqueCount="519">
  <si>
    <t>Приложение 1</t>
  </si>
  <si>
    <t>Приложение № 1</t>
  </si>
  <si>
    <t xml:space="preserve">                                 </t>
  </si>
  <si>
    <t>распоряжением министерства образования</t>
  </si>
  <si>
    <t>Кировской области</t>
  </si>
  <si>
    <t>от                          №</t>
  </si>
  <si>
    <t>№
п/п</t>
  </si>
  <si>
    <t xml:space="preserve">Наименование образовательной организации
</t>
  </si>
  <si>
    <t xml:space="preserve">Государственное задание, число обучающихся </t>
  </si>
  <si>
    <t>1 квартал 2020 года</t>
  </si>
  <si>
    <t>2 квартал 2020 года</t>
  </si>
  <si>
    <t>3 квартал 2020 года</t>
  </si>
  <si>
    <t>4 квартал 2020 года</t>
  </si>
  <si>
    <t>2020 ГОД</t>
  </si>
  <si>
    <t>2021 ГОД</t>
  </si>
  <si>
    <t>2022 ГОД</t>
  </si>
  <si>
    <t>Кировское областное государственное общеобразовательное бюджетное учреждение "Средняя школа с. Сорвижи Арбажского района"</t>
  </si>
  <si>
    <t>Кировское областное государственное общеобразовательное бюджетное учреждение "Средняя школа с. Ошлань Богородского района"</t>
  </si>
  <si>
    <t>Кировское областное государственное общеобразовательное бюджетное учреждение "Основная школа д. Первые Бобровы   Даровского района"</t>
  </si>
  <si>
    <t>Кировское областное государственное общеобразовательное бюджетное учреждение "Средняя школа с. Лаж Лебяжского района"</t>
  </si>
  <si>
    <t>Кировское областное государственное общеобразовательное бюджетное учреждение "Средняя школа с. Архангельское Немского района"</t>
  </si>
  <si>
    <t>Кировское областное государственное общеобразовательное бюджетное учреждение "Средняя школа с. Ныр Тужинского района"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</si>
  <si>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Мурыгино Юрьянского района"</t>
  </si>
  <si>
    <t>Кировское областное государственное общеобразовательное бюджетное учреждение "Основная школа с. Русские Краи   Кикнурского района"</t>
  </si>
  <si>
    <t>Кировское областное государственное общеобразовательное бюджетное учреждение "Основная школа с. Юма Свечинского района"</t>
  </si>
  <si>
    <t>Кировское областное государственное общеобразовательное бюджетное учреждение "Средняя школа с. Верхосунье Сунского района"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</si>
  <si>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"Хрусталик" г. Кирова"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</si>
  <si>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г. Кирова"</t>
  </si>
  <si>
    <t>Итого</t>
  </si>
  <si>
    <t>Приложение № 2</t>
  </si>
  <si>
    <t>УТВЕРЖДЕНО</t>
  </si>
  <si>
    <t>Государственное задание на оказание государственных услуг по реализации основных общеобразовательных программ начального общего образования на 2020 год и на плановый период 2021 и 2022 годов</t>
  </si>
  <si>
    <t>Кировское областное государственное общеобразовательное бюджетное учреждение "Средняя школа пгт Арбаж"</t>
  </si>
  <si>
    <t>Кировское областное государственное общеобразовательное бюджетное учреждение "Средняя школа с углублённым изучением отдельных предметов пгт Афанасьево"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</si>
  <si>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 Белой Холуницы"</t>
  </si>
  <si>
    <t>Кировское областное государственное общеобразовательное бюджетное учреждение "Средняя школа с углублённым изучением отдельных предметов пгт Богородское"</t>
  </si>
  <si>
    <t>Кировское областное государственное общеобразовательное бюджетное учреждение "Средняя школа с углублённым изучением отдельных предметов г. Кирс Верхнекамского района"</t>
  </si>
  <si>
    <t xml:space="preserve">Кировское областное государственноеобщеобразовательное бюджетное учреждение "Средняя школа имени И.С. Березина пгт Верхошижемье" </t>
  </si>
  <si>
    <t>Кировское областное государственное общеобразовательное бюджетное учреждение "Средняя школа пгт Даровской"</t>
  </si>
  <si>
    <t>Кировское областное государственное общеобразовательное бюджетное учреждение " Средняя школа с. Красное Даровского района"</t>
  </si>
  <si>
    <t>Кировское областное государственное общеобразовательное бюджетное учреждение "Основная школа д. Первые Бобровы Даровского района"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</si>
  <si>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 Зуевка"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</si>
  <si>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Кикнур"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</si>
  <si>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Кильмезь"</t>
  </si>
  <si>
    <t>Кировское областное государственное общеобразовательное бюджетное учреждение "Средняя школа пгт Кумены"</t>
  </si>
  <si>
    <t>Кировское областное государственное общеобразовательное бюджетное учреждение "Средняя школа пгт Нижнеивкино Куменского района"</t>
  </si>
  <si>
    <t>Кировское областное государственное общеобразовательное бюджетное учреждение "Средняя школа пгт Лебяжье"</t>
  </si>
  <si>
    <t>Кировское областное государственное общеобразовательное автономное учреждение "Средняя школа г. Лузы"</t>
  </si>
  <si>
    <t xml:space="preserve">Кировское областное государственное общеобразовательное бюджетное учреждение "Лицей г. Малмыжа" </t>
  </si>
  <si>
    <t>Кировское областное государственное общеобразовательное бюджетное учреждение "Средняя школа г. Мураши"</t>
  </si>
  <si>
    <t>Кировское областное государственное общеобразовательное бюджетное учреждение "Средняя школа с углублённым изучением отдельных предметов пгт Нагорск"</t>
  </si>
  <si>
    <t xml:space="preserve">Кировское областное государственное общеобразовательное бюджетное учреждение "Средняя школа пгт Нема" 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</si>
  <si>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 Нолинска"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</si>
  <si>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 Омутнинска"</t>
  </si>
  <si>
    <t>Кировское областное государственное общеобразовательноебюджетное учреждение "Средняя школа пгт Опарино"</t>
  </si>
  <si>
    <t>Кировское областное государственное общеобразовательное бюджетное учреждение "Начальная школа пгт Оричи"</t>
  </si>
  <si>
    <t>Кировское областное государственное общеобразовательное бюджетное учреждение "Средняя школа г. Орлова"</t>
  </si>
  <si>
    <t>Кировское областное государственное общеобразовательное бюджетное учреждение "Средняя школа с углублённым изучением отдельных предметов пгт Пижанка"</t>
  </si>
  <si>
    <t>Кировское областное государственное общеобразовательное бюджетное учреждение "Средняя школа пгт Демьяново Подосиновского района "</t>
  </si>
  <si>
    <t>Кировское областное государственное общеобразовательное бюджетное учреждение "Средняя школа пгт Подосиновец"</t>
  </si>
  <si>
    <t>Кировское областное государственное общеобразовательное бюджетное учреждение "Средняя школа с углублённым изучением отдельных предметов пгт Санчурск "</t>
  </si>
  <si>
    <t>Кировское областное государственное общеобразовательное бюджетное учреждение "Средняя школа пгт Свеча"</t>
  </si>
  <si>
    <t>Кировское областное государственное общеобразовательное бюджетное учреждение "Средняя школа пгт Вахруши Слободского района"</t>
  </si>
  <si>
    <t>Кировское областное государственное общеобразовательное бюджетное учреждение "Средняя школа пгт Суна"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</si>
  <si>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 Тужа"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</si>
  <si>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Уни"</t>
  </si>
  <si>
    <t>Кировское областное государственное общеобразовательное автономное учреждение "Гимназия г. Уржума"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</si>
  <si>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 Фаленки 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</si>
  <si>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Ленинское Шабалинского района 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</si>
  <si>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имени Героя Советского Союза Зонова Н.Ф. пгт Юрья"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</si>
  <si>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 Яранска"</t>
  </si>
  <si>
    <t>Кировское областное государственное общеобразовательное автономное учреждение "Вятский многопрофильный лицей"</t>
  </si>
  <si>
    <t>Кировское областное государственное общеобразовательное автономное учреждение "Гимназия № 1 г. Кирово-Чепецка"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</si>
  <si>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№ 1 города Котельнича"</t>
  </si>
  <si>
    <t>Кировское областное государственное общеобразовательное бюджетное учреждение "Лицей № 9 города Слободского"</t>
  </si>
  <si>
    <t>Кировское областное государственное общеобразовательное автономное учреждение "Вятская гуманитарная гимназия с углубленным изучением английского языка"</t>
  </si>
  <si>
    <t>Кировское областное государственное общеобразовательное автономное учреждение "Лицей естественных наук"</t>
  </si>
  <si>
    <t>Кировское областное государственное общеобразовательное автономное учреждение "Кировский физико-математический лицей"</t>
  </si>
  <si>
    <t>Кировское областное государственное общеобразовательное бюджетное учреждение "Центр дистанционного образования детей"</t>
  </si>
  <si>
    <t>Кировское областное государственное общеобразовательное бюджетное учреждение "Основная школа с. Русские Краи Кикнурского района"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</si>
  <si>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Арбаж"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</si>
  <si>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д. Аверины Афанасьевского района"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</si>
  <si>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1 г. Белая Холуница"</t>
  </si>
  <si>
    <t>Кировское областное государственное общеобразовательное бюджетное учреждение "Школа - интернат для обучающихся с ограниченными возможностями здоровья п. Светлополянска Верхнекамского района"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</si>
  <si>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г. Сосновки Вятскополянского района"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</si>
  <si>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"Средняя школа-интернат г. Сосновки Вятскополянского района"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</si>
  <si>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имени Г.С. Плюснина с. Верховонданка Даровского района"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</si>
  <si>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Кикнур"</t>
  </si>
  <si>
    <t>Кировское областное государственное общеобразовательное бюджетное учреждение для детей, нуждающихся в длительном лечении, "Кирово-Чепецкая санаторная школа-интернат"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</si>
  <si>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с. Бурмакино Кирово-Чепецкого района"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</si>
  <si>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Кумены"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</si>
  <si>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г. Малмыжа"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</si>
  <si>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1 г. Нолинска"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</si>
  <si>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2 г. Нолинска"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</si>
  <si>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с. Залазна Омутнинского района"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</si>
  <si>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Опарино"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</si>
  <si>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п. Торфяной Оричевского района"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</si>
  <si>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Пижанка"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</si>
  <si>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Демьяново Подосиновского района"</t>
  </si>
  <si>
    <t>Кировское областное государственное общеобразовательное бюджетное учреждение "Школа - интернат для обучающихся с ограниченными возможностями здоровья с. Успенское Слободского района"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</si>
  <si>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г. Советска"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</si>
  <si>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д. Удмуртский Сурвай Унинского района"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</si>
  <si>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с. Цепочкино Уржумского района"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</si>
  <si>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"Детский дом-школа с. Великорецкое Юрьянского района"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</si>
  <si>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г. Вятские Поляны"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</si>
  <si>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г. Кирово-Чепецка"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</si>
  <si>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г. Котельнича"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</si>
  <si>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г. Слободского"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</si>
  <si>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№ 1 г. Кирова"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</si>
  <si>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3 г. Кирова"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</si>
  <si>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№ 13 г. Кирова"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</si>
  <si>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№44 г. Кирова"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</si>
  <si>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№ 50 г. Кирова"</t>
  </si>
  <si>
    <t>______________</t>
  </si>
  <si>
    <t>Приложение 2</t>
  </si>
  <si>
    <t>Приложение № 3</t>
  </si>
  <si>
    <t xml:space="preserve">                 </t>
  </si>
  <si>
    <t>Государственное задание на оказание государственных услуг по реализации основных общеобразовательных программ 
основного общего образования на 2020 год и на плановый период 2021 и 2022 годов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</si>
  <si>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 Белой Холуницы"</t>
  </si>
  <si>
    <t>Кировское областное государственное общеобразовательное бюджетное учреждение "Вечерняя средняя школа пгт Лесной Верхнекамского района"</t>
  </si>
  <si>
    <t xml:space="preserve">Кировское областное государственное общеобразовательное бюджетное учреждение "Средняя школа имени И.С. Березина пгт Верхошижемье" </t>
  </si>
  <si>
    <t>Кировское областное государственное общеобразовательное бюджетное учреждение "Основная школа д. Первые Бобровы  Даровского района"</t>
  </si>
  <si>
    <t>Кировское областное государственное общеобразовательное автономное учреждение "Кировский кадетский корпус имени Героя Советского Союза А.Я. Опарина"</t>
  </si>
  <si>
    <t xml:space="preserve">Кировское областное государственное общеобразовательное бюджетное учреждение  "Лицей г. Малмыжа" </t>
  </si>
  <si>
    <t>Кировское областное государственное общеобразовательное бюджетное учреждение "Вечерняя средняя школа г. Омутнинска"</t>
  </si>
  <si>
    <t>Кировское областное государственное общеобразовательное бюджетное учреждение "Средняя школа пгт Опарино"</t>
  </si>
  <si>
    <t>Кировское областное государственное общеобразовательное бюджетное учреждение "Средняя школа пгт Оричи"</t>
  </si>
  <si>
    <t>Кировское областное государственное общеобразовательное бюджетное учреждение "Средняяшкола с углублённым изучением отдельных предметов пгт Пижанка"</t>
  </si>
  <si>
    <t>Кировское областное государственное общеобразовательное бюджетное учреждение "Лицей г. Советска"</t>
  </si>
  <si>
    <t>Кировское областное государственное общеобразовательное автономное учреждение "Гимназия № 1 г. Кирово-Чепецка"</t>
  </si>
  <si>
    <t>Кировское областное государственное общеобразовательное бюджетное учреждение "Вечерняя средняя школа г. Кирово-Чепецка"</t>
  </si>
  <si>
    <t>Кировское областное государственное общеобразовательное бюджетное учреждение "Вечерняя средняя школа г. Котельнича"</t>
  </si>
  <si>
    <t>Кировское областное государственное общеобразовательное автономное учреждение "Кировский экономико–правовой лицей"</t>
  </si>
  <si>
    <t>Кировское областное государственное общеобразовательное бюджетное учреждение "Основная школа с. Русские Краи  Кикнурского района"</t>
  </si>
  <si>
    <t>Приложение 3</t>
  </si>
  <si>
    <t>Приложение № 4</t>
  </si>
  <si>
    <t>Государственное задание на оказание государственных услуг по реализации основных общеобразовательных программ 
среднего общего образования на 2020 год и на плановый период 2021 и 2022 годов</t>
  </si>
  <si>
    <t xml:space="preserve">Кировское областное государственное  общеобразовательное бюджетное учреждение "Средняя школа имени И.С. Березина пгт Верхошижемье" </t>
  </si>
  <si>
    <t>Кировское областное государственное общеобразовательное бюджетное учреждение " Средняя школа  с. Красное  Даровского района"</t>
  </si>
  <si>
    <t xml:space="preserve">Кировское областное государственное общеобразовательное бюджетное учреждение    "Лицей г. Малмыжа" </t>
  </si>
  <si>
    <t>Кировское областное государственное общеобразовательное  бюджетное учреждение "Средняя школа пгт Опарино"</t>
  </si>
  <si>
    <t>Кировское областное государственное общеобразовательное автономное учреждение "Вятский технический лицей"</t>
  </si>
  <si>
    <t>Кировское областное государственное общеобразовательное бюджетное учреждение "Средняя школа с.Верхосунье Сунского района"</t>
  </si>
  <si>
    <t>Приложение 5</t>
  </si>
  <si>
    <t>Приложение № 5</t>
  </si>
  <si>
    <t>Государственное задание, число обучающихся</t>
  </si>
  <si>
    <t xml:space="preserve">Кировское областное государственное образовательное бюджетное учреждение для детей-сирот и детей, оставшихся без попечения родителей, "Спицынский детский дом п. Ленинская Искра Котельничского района" </t>
  </si>
  <si>
    <t xml:space="preserve">Кировское областное государственное образовательное бюджетное учреждение для детей-сирот и детей, оставшихся без попечения родителей "Детский дом г. Нолинска" </t>
  </si>
  <si>
    <t xml:space="preserve">Кировское областное государственное образовательное бюджетное учреждение для детей-сирот и детей, оставшихся без попечения родителей, "Детский дом с. Спас-Талица Оричевского района" </t>
  </si>
  <si>
    <t>Кировское областное государственное бюджетное учреждение для детей-сирот и детей, оставшихся без попечения родителей, "Детский дом пгт Тужа"</t>
  </si>
  <si>
    <t>Кировское областное государственное образовательное бюджетное учреждение для детей-сирот и детей, оставшихся без попечения родителей, "Детский дом г. Уржума"</t>
  </si>
  <si>
    <t>Кировское областное государственное образовательное бюджетное учреждение для детей-сирот и детей, оставшихся без попечения родителей, "Детский дом "Надежда" для детей с ограниченными возможностями здоровья г. Кирова</t>
  </si>
  <si>
    <t>Приложение 6</t>
  </si>
  <si>
    <t>Приложение № 6</t>
  </si>
  <si>
    <t>Государственное задание на оказание государственных услуг (выполнение работ) по реализации основных профессиональных образовательных программ среднего профессионального образования на 2020 год и на плановый период 2021 и 2022 годов</t>
  </si>
  <si>
    <t>№ п/п</t>
  </si>
  <si>
    <t>Реестровый номер</t>
  </si>
  <si>
    <t>Код базовой услуги или работы</t>
  </si>
  <si>
    <t xml:space="preserve">Наименование базовой услуги </t>
  </si>
  <si>
    <t>Уровень образования, необходимый для приема на обучение</t>
  </si>
  <si>
    <t>Содержание услуги</t>
  </si>
  <si>
    <t>Форма обучения</t>
  </si>
  <si>
    <t>Наименование организации</t>
  </si>
  <si>
    <t>Государственное задание, численность обучающихся</t>
  </si>
  <si>
    <t xml:space="preserve">00000000000332D005611592003600100001006100101 </t>
  </si>
  <si>
    <t>11.592.0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</si>
  <si>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 </t>
  </si>
  <si>
    <t>Среднее общее образование</t>
  </si>
  <si>
    <t>08.02.08 Монтаж и эксплуатация оборудования и систем газоснабжения</t>
  </si>
  <si>
    <t>заочная</t>
  </si>
  <si>
    <t>КОГПОБУ "Нолинский техникум механизации сельского хозяйства"</t>
  </si>
  <si>
    <t>08.02.11 Управление,эксплуатация и обслуживание многоквартирного дома</t>
  </si>
  <si>
    <t>КОГПОАУ "Колледж промышленности и автомобильного сервиса"</t>
  </si>
  <si>
    <t>23.02.07 Техническое обслуживание и ремонт двигателей, систем и агрегатов автомобилей</t>
  </si>
  <si>
    <t>Основное общее образование</t>
  </si>
  <si>
    <t>очная</t>
  </si>
  <si>
    <t>КОГПОБУ "Кировский сельскохозяйственный техникум"</t>
  </si>
  <si>
    <t>КОГПОАУ "Савальский политехнический техникум"</t>
  </si>
  <si>
    <t>09.02.02 Компьютерные сети</t>
  </si>
  <si>
    <t>КОГПОБУ "Вятский автомобильно-промышленный колледж"</t>
  </si>
  <si>
    <t xml:space="preserve">00000000000332D005611597002800100001001100101 </t>
  </si>
  <si>
    <t>11.597.0</t>
  </si>
  <si>
    <t>13.02.07 Электроснабжение (по отраслям)</t>
  </si>
  <si>
    <t>КОГПОАУ "Вятский железнодорожный техникум"</t>
  </si>
  <si>
    <t>13.02.11 Техническая эксплуатация и обслуживание электрического и электромеханического оборудования (по отраслям)</t>
  </si>
  <si>
    <t>КОГПОБУ "Кировский авиационный техникум"</t>
  </si>
  <si>
    <t>КОГПОАУ "Омутнинский политехнический техникум"</t>
  </si>
  <si>
    <t>КОГПОБУ "Вятско-Полянский механический техникум"</t>
  </si>
  <si>
    <t>КОГПОАУ "Вятский электромашиностроительный техникум"</t>
  </si>
  <si>
    <t xml:space="preserve">00000000000332D005611599005000100001000100101 </t>
  </si>
  <si>
    <t>11.599.0</t>
  </si>
  <si>
    <t>15.02.06 Монтаж и техническая эксплуатация холодильно-компрессорных машин и установок (по отраслям)</t>
  </si>
  <si>
    <t>КОГПОАУ "Кировский технологический колледж пищевой промышленности"</t>
  </si>
  <si>
    <t>15.02.07 Автоматизация технологических процессов и производств (по отраслям)</t>
  </si>
  <si>
    <t xml:space="preserve">00000000000332D005611597003100100001006100101 </t>
  </si>
  <si>
    <t>13.02.10 Электрические машины и аппараты</t>
  </si>
  <si>
    <t xml:space="preserve">00000000000332D005611593001500100001000100101 </t>
  </si>
  <si>
    <t>11.593.0</t>
  </si>
  <si>
    <t>09.02.03 Программирование в компьютерных системах</t>
  </si>
  <si>
    <t>КОГПОБУ "Слободской колледж педагогики и социальных отношений</t>
  </si>
  <si>
    <t xml:space="preserve">00000000000332D005611593001700100001008100101 </t>
  </si>
  <si>
    <t>09.02.05 Прикладная информатика (по отраслям)</t>
  </si>
  <si>
    <t>КОГПОАУ "Куменский аграрно-технологический техникум"</t>
  </si>
  <si>
    <t>15.02.01 Монтаж и техническая эксплуатация промышленного оборудования (по отраслям)</t>
  </si>
  <si>
    <t xml:space="preserve">00000000000332D005611599005200100001008100101 </t>
  </si>
  <si>
    <t>15.02.08 Технология машиностроения</t>
  </si>
  <si>
    <t>43.02.01 Организация обслуживания в общественном питании</t>
  </si>
  <si>
    <t>КОГПОБУ "Вятский колледж профессиональных технологий, управления и сервиса"</t>
  </si>
  <si>
    <t xml:space="preserve">00000000000332D005611621001600100001005100101 </t>
  </si>
  <si>
    <t>11.621.0</t>
  </si>
  <si>
    <t>КОГПОБУ "Орлово-Вятский сельскохозяйственный колледж"</t>
  </si>
  <si>
    <t xml:space="preserve">00000000000332D005611608003300100001001100101 </t>
  </si>
  <si>
    <t>11.608.0</t>
  </si>
  <si>
    <t>26.02.05 Эксплуатация судовых энергетических установок</t>
  </si>
  <si>
    <t>КОГПОАУ "Нолинский политехнический техникум"</t>
  </si>
  <si>
    <t>36.02.01 Ветеринария</t>
  </si>
  <si>
    <t xml:space="preserve">00000000000332D005611616001000100001008100101 </t>
  </si>
  <si>
    <t>11.616.0</t>
  </si>
  <si>
    <t>КОГПОАУ "Уржумский аграрно-технический техникум"</t>
  </si>
  <si>
    <t xml:space="preserve">00000000000332D005611628003500100001005100101 </t>
  </si>
  <si>
    <t>11.628.0</t>
  </si>
  <si>
    <t>54.02.02 Декоративно-прикладное искусство и народные промыслы (по видам)</t>
  </si>
  <si>
    <t>КОГПОБУ "Кировский технологический колледж"</t>
  </si>
  <si>
    <t xml:space="preserve">00000000000332D005611631001300100001006100101 </t>
  </si>
  <si>
    <t>11.631.0</t>
  </si>
  <si>
    <t>44.02.02 Преподавание в начальных классах</t>
  </si>
  <si>
    <t>КОГПОБУ "Кировский педагогический колледж"</t>
  </si>
  <si>
    <t>КОГПОАУ "Орловский колледж педагогики и профессиональных технологий"</t>
  </si>
  <si>
    <t>КОГПОБУ "Индустриально-педагогический колледж г. Советска"</t>
  </si>
  <si>
    <t>КОГПОБУ "Омутнинский колледж педагогики, экономики и права"</t>
  </si>
  <si>
    <t>40.02.01 Право и организация социального обеспечения</t>
  </si>
  <si>
    <t xml:space="preserve">00000000000332D005611609001900100001008100101 </t>
  </si>
  <si>
    <t>11.609.0</t>
  </si>
  <si>
    <t>27.02.04 Автоматические системы управления</t>
  </si>
  <si>
    <t xml:space="preserve">00000000000332D005611601003000100001001100101 </t>
  </si>
  <si>
    <t>11.601.0</t>
  </si>
  <si>
    <t>19.02.03 Технология хлеба, кондитерских и макаронных изделий</t>
  </si>
  <si>
    <t xml:space="preserve">00000000000332D005611621001700100001004100101 </t>
  </si>
  <si>
    <t>43.02.13 Технология парикмахерского искусства</t>
  </si>
  <si>
    <t xml:space="preserve">00000000000332D005611601003400100001007100101 </t>
  </si>
  <si>
    <t>19.02.07 Технология молока и молочных продуктов</t>
  </si>
  <si>
    <t xml:space="preserve">00000000000332D005611605003300100001004100101 </t>
  </si>
  <si>
    <t>11.605.0</t>
  </si>
  <si>
    <t>23.02.04 Техническая эксплуатация подъемно-транспортных, строительных, дорожных машин и оборудования (по отраслям)</t>
  </si>
  <si>
    <t xml:space="preserve"> КОГПОБУ "Кировский лесопромышленный колледж"</t>
  </si>
  <si>
    <t xml:space="preserve">00000000000332D005611610004500100001003100101 </t>
  </si>
  <si>
    <t>11.610.0</t>
  </si>
  <si>
    <t>29.02.04 Конструирование, моделирование и технология швейных изделий</t>
  </si>
  <si>
    <t xml:space="preserve">00000000000332D005611605003000100001007100101 </t>
  </si>
  <si>
    <t>23.02.01 Организация перевозок и управление на транспорте (по видам)</t>
  </si>
  <si>
    <t xml:space="preserve">00000000000332D005611631001400100001005100101 </t>
  </si>
  <si>
    <t>44.02.03 Педагогика дополнительного образования</t>
  </si>
  <si>
    <t xml:space="preserve">00000000000332D005611615005600100001004100101 </t>
  </si>
  <si>
    <t>11.615.0</t>
  </si>
  <si>
    <t>35.02.12 Садово-парковое и ландшафтное строительство</t>
  </si>
  <si>
    <t xml:space="preserve">00000000000332D005611600004000100001000100101 </t>
  </si>
  <si>
    <t>11.600.0</t>
  </si>
  <si>
    <t>18.02.03 Химическая технология неорганических веществ</t>
  </si>
  <si>
    <t xml:space="preserve">00000000000332D005611604002100100001009100101 </t>
  </si>
  <si>
    <t>11.604.0</t>
  </si>
  <si>
    <t>22.02.06 Сварочное производство</t>
  </si>
  <si>
    <t>КОГПОАУ "Вятский торгово-промышленный техникум"</t>
  </si>
  <si>
    <t xml:space="preserve">00000000000332D005611615004600100001007100101 </t>
  </si>
  <si>
    <t>35.02.02 Технология лесозаготовок</t>
  </si>
  <si>
    <t xml:space="preserve">00000000000332D005611615005100100001009100101 </t>
  </si>
  <si>
    <t>35.02.07 Механизация сельского хозяйства</t>
  </si>
  <si>
    <t>КОГПОБУ "Зуевский механико-технологический техникум"</t>
  </si>
  <si>
    <t xml:space="preserve">00000000000332D005611617002500100001000100101 </t>
  </si>
  <si>
    <t>11.617.0</t>
  </si>
  <si>
    <t>38.02.03 Операционная деятельность в логистике</t>
  </si>
  <si>
    <t xml:space="preserve">00000000000332D005611617002600100001009100101 </t>
  </si>
  <si>
    <t>38.02.04 Коммерция в индустрии моды</t>
  </si>
  <si>
    <t xml:space="preserve">00000000000332D005611617002700100001008100101 </t>
  </si>
  <si>
    <t>38.02.05 Товароведение и экспертиза качества потребительских товаров</t>
  </si>
  <si>
    <t xml:space="preserve">00000000000332D005611615004700100001006100101 </t>
  </si>
  <si>
    <t>35.02.03 Технология деревообработки</t>
  </si>
  <si>
    <t>44.02.03 Педагогика дополнительного образования в области социально-педагогической деятельности</t>
  </si>
  <si>
    <t xml:space="preserve">00000000000332D005611619000800100001009100101 </t>
  </si>
  <si>
    <t>11.619.0</t>
  </si>
  <si>
    <t>40.02.02 Правоохранительная деятельность</t>
  </si>
  <si>
    <t>18.02.01 Аналитический контроль качества химических соединений</t>
  </si>
  <si>
    <t xml:space="preserve">00000000000332D005611608003000100001004100101 </t>
  </si>
  <si>
    <t>26.02.02 Судостроение</t>
  </si>
  <si>
    <t>КОГПОАУ "Сосновский судостроительный техникум"</t>
  </si>
  <si>
    <t xml:space="preserve">00000000000332D005611622001100100001009100101 </t>
  </si>
  <si>
    <t>11.622.0</t>
  </si>
  <si>
    <t>46.02.01 Документационное обеспечение управления и архивоведение</t>
  </si>
  <si>
    <t xml:space="preserve">00000000000332D005611621002100100001008100101 </t>
  </si>
  <si>
    <t>43.02.06 Сервис на транспорте (по видам транспорта)</t>
  </si>
  <si>
    <t xml:space="preserve">00000000000332D005611621002300100001006100101 </t>
  </si>
  <si>
    <t>43.02.08 Сервис домашнего и коммунального хозяйства</t>
  </si>
  <si>
    <t xml:space="preserve">00000000000332D005611615004800100001005100101 </t>
  </si>
  <si>
    <t>35.02.04 Технология комплексной переработки древесины</t>
  </si>
  <si>
    <t xml:space="preserve">00000000000332D005611628003400100001006100101 </t>
  </si>
  <si>
    <t>54.02.01 Дизайн (по отраслям)</t>
  </si>
  <si>
    <t xml:space="preserve">00000000000332D005611631001200100001007100101 </t>
  </si>
  <si>
    <t>44.02.01 Дошкольное образование</t>
  </si>
  <si>
    <t>44.02.01 Дошкольное образование заочное</t>
  </si>
  <si>
    <t xml:space="preserve">00000000000332D005611623000800100001003100101 </t>
  </si>
  <si>
    <t>11.623.0</t>
  </si>
  <si>
    <t>49.02.01 Физическая культура</t>
  </si>
  <si>
    <t xml:space="preserve">00000000000332D005611615005200100001008100101 </t>
  </si>
  <si>
    <t>35.02.08 Электрификация и автоматизация сельского хозяйства</t>
  </si>
  <si>
    <t>18.02.07 Технология производства и переработки пластических масс и эластомеров</t>
  </si>
  <si>
    <t xml:space="preserve">00000000000332D005611603003300100001006100101 </t>
  </si>
  <si>
    <t>11.603.0</t>
  </si>
  <si>
    <t>21.02.04 Землеустройство</t>
  </si>
  <si>
    <t xml:space="preserve">00000000000332D005611592002900100001005100102 </t>
  </si>
  <si>
    <t>08.02.01 Строительство и эксплуатация зданий и сооружений</t>
  </si>
  <si>
    <t>КОГПОБУ "Кировский многопрофильный техникум"</t>
  </si>
  <si>
    <t>23.02.05 Эксплуатация транспортного электрооборудования и автоматики (по видам транспорта, за исключением водного)</t>
  </si>
  <si>
    <t xml:space="preserve">00000000000332D005611745001600100001006100101 </t>
  </si>
  <si>
    <t>11.745.0</t>
  </si>
  <si>
    <t>23.02.05 Эксплуатация транспортного электрооборудования и автоматики</t>
  </si>
  <si>
    <t>21.02.05 Земельно-имущественные отношения</t>
  </si>
  <si>
    <t xml:space="preserve">00000000000332D005611745001500100001007100101 </t>
  </si>
  <si>
    <t xml:space="preserve">00000000000332D005611749003100100001003100101 </t>
  </si>
  <si>
    <t>11.749.0</t>
  </si>
  <si>
    <t xml:space="preserve">00000000000332D005611749003200100001002100101 </t>
  </si>
  <si>
    <t>среднее общее образование</t>
  </si>
  <si>
    <t>основное общее образование</t>
  </si>
  <si>
    <t>КОГПОАУ "Яранский технологический техникум"</t>
  </si>
  <si>
    <t xml:space="preserve">00000000000332D005611752004000100001006100101 </t>
  </si>
  <si>
    <t>11.752.0</t>
  </si>
  <si>
    <t xml:space="preserve">00000000000332D005611767004900100001000100101 </t>
  </si>
  <si>
    <t>11.767.0</t>
  </si>
  <si>
    <t>35.02.05 Агрономия</t>
  </si>
  <si>
    <t>29.02.04 Конструирование, моделирование и технология швейных изделий (заочное)</t>
  </si>
  <si>
    <t xml:space="preserve">00000000000332D005611762004500100001009100101 </t>
  </si>
  <si>
    <t>11.762.0</t>
  </si>
  <si>
    <t xml:space="preserve">00000000000332D005611753003700100001000100101 </t>
  </si>
  <si>
    <t>11.753.0</t>
  </si>
  <si>
    <t>19.02.10 Технология продукции общественного питания</t>
  </si>
  <si>
    <t>КОГПОБУ "Слободской технологический техникум"</t>
  </si>
  <si>
    <t xml:space="preserve">00000000000332D005611774001200100001004100101 </t>
  </si>
  <si>
    <t>11.774.0</t>
  </si>
  <si>
    <t xml:space="preserve">00000000000332D005611769002900100001002100101 </t>
  </si>
  <si>
    <t>11.769.0</t>
  </si>
  <si>
    <t>38.02.07 Банковское дело</t>
  </si>
  <si>
    <t>КОГПОБУ "Санчурский социально-экономический техникум"</t>
  </si>
  <si>
    <t xml:space="preserve">00000000000332D005611767005100100001005100101 </t>
  </si>
  <si>
    <t xml:space="preserve">Реализация образовательных программ среднего профессионального образования - программ подготовки квалифицированных рабочих, служащих </t>
  </si>
  <si>
    <t>35.01.02 Станочник деревообрабатывающих станков</t>
  </si>
  <si>
    <t>КОГПОБУ "Вятский аграрно-промышленный техникум"</t>
  </si>
  <si>
    <t>35.02.16 Эксплуатация и ремонт сельскохозяйственной техники и оборудования</t>
  </si>
  <si>
    <t xml:space="preserve">00000000000332D005611767005200100001004100102 </t>
  </si>
  <si>
    <t xml:space="preserve">00000000000332D005611769002700100001004100101 </t>
  </si>
  <si>
    <t xml:space="preserve">00000000000332D005611755003300100001002100101 </t>
  </si>
  <si>
    <t>11.755.0</t>
  </si>
  <si>
    <t xml:space="preserve">00000000000332D005611760003000100001008100101 </t>
  </si>
  <si>
    <t>11.760.0</t>
  </si>
  <si>
    <t>22.02.05 Обработка металлов давлением</t>
  </si>
  <si>
    <t>29.02.01 Конструирование, моделирование и технология изделий из кожи</t>
  </si>
  <si>
    <t xml:space="preserve">00000000000332D005611762004200100001002100101 </t>
  </si>
  <si>
    <t xml:space="preserve">00000000000332D005611605003200100001005100103 </t>
  </si>
  <si>
    <t>23.02.03 Техническое обслуживание и ремонт автомобильного транспорта</t>
  </si>
  <si>
    <t>КОГПОАУ "Кировский автодорожный техникум"</t>
  </si>
  <si>
    <t>09.02.04 Информационные системы (по отраслям)</t>
  </si>
  <si>
    <t>КОГПОБУ "Яранский аграрный техникум"</t>
  </si>
  <si>
    <t xml:space="preserve">00000000000332D005611751005200100001002100101 </t>
  </si>
  <si>
    <t>11.751.0</t>
  </si>
  <si>
    <t>23.01.17 Мастер по ремонту и обслуживанию автомобилей</t>
  </si>
  <si>
    <t xml:space="preserve">00000000000332D005611767004700100001002100101 </t>
  </si>
  <si>
    <t xml:space="preserve">00000000000332D005611769002300100001008100101 </t>
  </si>
  <si>
    <t>38.02.01 Экономика и бухгалтерский учет (по отраслям)</t>
  </si>
  <si>
    <t xml:space="preserve">00000000000332D005611767004600100001003100101 </t>
  </si>
  <si>
    <t xml:space="preserve">00000000000332D005611771000700100001004100101 </t>
  </si>
  <si>
    <t>11.771.0</t>
  </si>
  <si>
    <t xml:space="preserve">00000000000332D005611774001600100001000100101 </t>
  </si>
  <si>
    <t>44.02.05 Коррекционная педагогика в начальном образовании</t>
  </si>
  <si>
    <t>09.02.07 Информационные системы и программирование</t>
  </si>
  <si>
    <t xml:space="preserve">00000000000332D005611770000900100001003100101 </t>
  </si>
  <si>
    <t>11.770.0</t>
  </si>
  <si>
    <t>39.02.01 Социальная работа</t>
  </si>
  <si>
    <t xml:space="preserve">00000000000332D005611769002400100001007100101 </t>
  </si>
  <si>
    <t>38.02.02 Страховое дело (по отраслям)</t>
  </si>
  <si>
    <t xml:space="preserve">00000000000332D005611760003300100001005100101 </t>
  </si>
  <si>
    <t xml:space="preserve">00000000000332D005611756002100100001005100101 </t>
  </si>
  <si>
    <t>11.756.0</t>
  </si>
  <si>
    <t xml:space="preserve">00000000000332D005611757003200100001001100101 </t>
  </si>
  <si>
    <t>11.757.0</t>
  </si>
  <si>
    <t>КОГПОАУ "Техникум промышленности и народных промыслов"</t>
  </si>
  <si>
    <t xml:space="preserve">00000000000332D005611757003300100001000100101 </t>
  </si>
  <si>
    <t>32.02.05 Агрономия</t>
  </si>
  <si>
    <t xml:space="preserve">00000000000332D005611775001100100001004100101 </t>
  </si>
  <si>
    <t>11.775.0</t>
  </si>
  <si>
    <t>15.01.05 Сварщик (ручной и частично механизированной сварки (наплавки)</t>
  </si>
  <si>
    <t>15.01.34 Фрезеровщик на станках с программным управлением</t>
  </si>
  <si>
    <t xml:space="preserve">00000000000332D005611539001500100001007100101 </t>
  </si>
  <si>
    <t>11.539.0</t>
  </si>
  <si>
    <t>08.01.10 Мастер жилищно-коммунального хозяйства</t>
  </si>
  <si>
    <t>15.01.35 Мастер слесарных работ</t>
  </si>
  <si>
    <t>11.01.01 Монтажник радиоэлектронной аппаратуры и приборов</t>
  </si>
  <si>
    <t>15.01.33 Токарь на станках с числовым программным управлением</t>
  </si>
  <si>
    <t>13.01.10 Электромонтер по ремонту и обслуживанию электрооборудования (по отраслям)</t>
  </si>
  <si>
    <t xml:space="preserve">00000000000332D005611544001900100001006100101 </t>
  </si>
  <si>
    <t>11.544.0</t>
  </si>
  <si>
    <t>15.01.05 Сварщик (электросварочные и газосварочные работы)</t>
  </si>
  <si>
    <t>15.01.05 Сварщик (ручной и частично механизированной сварки)</t>
  </si>
  <si>
    <t>08.01.26 Мастер по ремонту и обслуживанию инженерных систем жилищно-комунального хозяйства</t>
  </si>
  <si>
    <t xml:space="preserve">15.01.05 Сварщик </t>
  </si>
  <si>
    <t xml:space="preserve">08.01.25 Мастер отделочных строительных и декоративных работ </t>
  </si>
  <si>
    <t xml:space="preserve">00000000000332D005611544002300100001000100101 </t>
  </si>
  <si>
    <t>15.01.09 Машинист лесозаготовительных и трелевочных машин</t>
  </si>
  <si>
    <t xml:space="preserve">00000000000332D005611774001300100001003100102 </t>
  </si>
  <si>
    <t xml:space="preserve">00000000000332D005611776000800100001008100102 </t>
  </si>
  <si>
    <t>11.776.0</t>
  </si>
  <si>
    <t xml:space="preserve">00000000000332D005611539001100100001001100101 </t>
  </si>
  <si>
    <t>08.01.06 Мастер сухого строительства</t>
  </si>
  <si>
    <t xml:space="preserve">00000000000332D005611539001300100001009100101 </t>
  </si>
  <si>
    <t>08.01.08 Мастер отделочных строительных работ</t>
  </si>
  <si>
    <t>34.02.01 Сестринское дело</t>
  </si>
  <si>
    <t>23.01.03 Автомеханик</t>
  </si>
  <si>
    <t xml:space="preserve">00000000000332D005611544003400100001007100101 </t>
  </si>
  <si>
    <t>15.01.20 Слесарь по контрольно-измерительным приборам и автоматике</t>
  </si>
  <si>
    <t xml:space="preserve">00000000000332D005611550001900100001007100101 </t>
  </si>
  <si>
    <t>11.550.0</t>
  </si>
  <si>
    <t>23.01.06 Машинист дорожных и строительных машин</t>
  </si>
  <si>
    <t xml:space="preserve">00000000000332D005611557002200100001005100101 </t>
  </si>
  <si>
    <t>11.557.0</t>
  </si>
  <si>
    <t>38.01.03 Контролер банка</t>
  </si>
  <si>
    <t xml:space="preserve">00000000000332D005611557002100100001006100101 </t>
  </si>
  <si>
    <t>38.01.02 Продавец, контролер-кассир</t>
  </si>
  <si>
    <t xml:space="preserve">00000000000332D005611773002300100001002100101 </t>
  </si>
  <si>
    <t>11.773.0</t>
  </si>
  <si>
    <t xml:space="preserve">00000000000332D005611560001200100001002100101 </t>
  </si>
  <si>
    <t>11.560.0</t>
  </si>
  <si>
    <t>43.01.05 Оператор по обработке перевозочных документов на железнодорожном транспорте</t>
  </si>
  <si>
    <t>09.01.03 Мастер по обработке цифровой информации</t>
  </si>
  <si>
    <t xml:space="preserve">00000000000332D005611540001200100001007100101 </t>
  </si>
  <si>
    <t>11.540.0</t>
  </si>
  <si>
    <t xml:space="preserve">00000000000332D005611705001600100001004100101 </t>
  </si>
  <si>
    <t>11.705.0</t>
  </si>
  <si>
    <t>29.01.05 Закройщик</t>
  </si>
  <si>
    <t>35.01.14 Мастер по техническому обслуживанию и ремонту машинно-тракторного парка</t>
  </si>
  <si>
    <t xml:space="preserve">00000000000332D005611555003500100001002100101 </t>
  </si>
  <si>
    <t>11.555.0</t>
  </si>
  <si>
    <t>35.01.15 Электромонтер по ремонту и обслуживанию электрооборудования в сельскохозяйственном производстве</t>
  </si>
  <si>
    <t xml:space="preserve">00000000000332D005611707003200100001002100101 </t>
  </si>
  <si>
    <t>11.707.0</t>
  </si>
  <si>
    <t>35.01.12 Заготовитель продуктов и сырья</t>
  </si>
  <si>
    <t xml:space="preserve">00000000000332D005611539002300100001007100101 </t>
  </si>
  <si>
    <t>08.01.18 Электромонтажник электрических сетей и электрооборудования</t>
  </si>
  <si>
    <t xml:space="preserve">00000000000332D005611541001700100001001100101 </t>
  </si>
  <si>
    <t>11.541.0</t>
  </si>
  <si>
    <t>11.01.08 Оператор связи</t>
  </si>
  <si>
    <t xml:space="preserve">00000000000332D005611550002300100001001100101 </t>
  </si>
  <si>
    <t>23.01.10 Слесарь по обслуживанию и ремонту подвижного состава</t>
  </si>
  <si>
    <t xml:space="preserve">00000000000332D005611553004000100001007100101 </t>
  </si>
  <si>
    <t>11.553.0</t>
  </si>
  <si>
    <t>29.01.29 Мастер столярного и мебельного производства</t>
  </si>
  <si>
    <t xml:space="preserve">00000000000332D005611546001400100001009100101 </t>
  </si>
  <si>
    <t>11.546.0</t>
  </si>
  <si>
    <t>19.01.04 Пекарь</t>
  </si>
  <si>
    <t>19.01.17 Повар, кондитер</t>
  </si>
  <si>
    <t>35.01.13 Тракторист-машинист сельскохозяйственного производства</t>
  </si>
  <si>
    <t xml:space="preserve">00000000000332D005611543001700100001009100101 </t>
  </si>
  <si>
    <t>11.543.0</t>
  </si>
  <si>
    <t>27.02.06 Контроль работы измирительных приборов</t>
  </si>
  <si>
    <t xml:space="preserve">27.02.06 Контроль работы измирительных приборов </t>
  </si>
  <si>
    <t>15.01.32 Оператор станков с програмным управлением</t>
  </si>
  <si>
    <t xml:space="preserve">00000000000332D005611544003700100001004100101 </t>
  </si>
  <si>
    <t>15.01.31 Мастер контрольно-измирительных приборов и автоматике</t>
  </si>
  <si>
    <t>15.01.23 Наладчик станков и оборудования в механообработке</t>
  </si>
  <si>
    <t xml:space="preserve">00000000000332D005611550001600100001000100101 </t>
  </si>
  <si>
    <t>23.02.07 Техническо обслуживание двигателей, систем и агрегатов автомобилей</t>
  </si>
  <si>
    <t xml:space="preserve">00000000000332D005611550002200100001002100101 </t>
  </si>
  <si>
    <t>23.01.09 Машинист локомотива</t>
  </si>
  <si>
    <t>08.01.07 Мастер общестроительных работ</t>
  </si>
  <si>
    <t xml:space="preserve">00000000000332D005611555003300100001004100101 </t>
  </si>
  <si>
    <t xml:space="preserve">00000000000332D005611709002100100001003100101 </t>
  </si>
  <si>
    <t>11.709.0</t>
  </si>
  <si>
    <t>35.01.19 Мастер садово-паркового и ландшафтного строительства</t>
  </si>
  <si>
    <t>43.01.02 Парикмахер</t>
  </si>
  <si>
    <t xml:space="preserve">00000000000332D005611544001800100001007100101 </t>
  </si>
  <si>
    <t xml:space="preserve">00000000000332D005611773002600100001009101101 </t>
  </si>
  <si>
    <t>15.01.04 Наладчик сварочного и газоплазморезательного оборудования</t>
  </si>
  <si>
    <t xml:space="preserve">00000000000332D005611617002300100001002100102 </t>
  </si>
  <si>
    <t>43.02.11 Гостиничный сервис</t>
  </si>
  <si>
    <t>29.02.05 Технология текстильных изделий (по видам)</t>
  </si>
  <si>
    <t>26.01.01 Судостроитель-судоремонтник металличесских судов</t>
  </si>
  <si>
    <t xml:space="preserve">00000000000332D005611601003700100001004100102 </t>
  </si>
  <si>
    <t>43.01.09 Повар, кондитер</t>
  </si>
  <si>
    <t>43.02.15 Поварское и кондитерское дело</t>
  </si>
  <si>
    <t>09.01.01 Наладчик аппартного и программного обеспечения</t>
  </si>
  <si>
    <t>36.02.02 Зоотехния</t>
  </si>
  <si>
    <t>35.02.16 "Эксплуатация и ремонт сельскохозяйственной техники"</t>
  </si>
  <si>
    <t>29.01.08 Оператор швейного оборудования</t>
  </si>
  <si>
    <t>15.01.32 Оператор станков с программным управлением</t>
  </si>
  <si>
    <t>36.01.01 Младший ветеринарный фельдшер</t>
  </si>
  <si>
    <t>44.02.04 Специальное дошкольное образование</t>
  </si>
  <si>
    <t xml:space="preserve">00000000000332D005611774001400100001002100101 </t>
  </si>
  <si>
    <t xml:space="preserve">00000000000332D005611773002500100001000101101 </t>
  </si>
  <si>
    <t>43.02.10 Туризм</t>
  </si>
  <si>
    <t>13.02.08 Электроизоляционная, кабельная и конденсаторная техника</t>
  </si>
  <si>
    <t>31.02.01 Лечебное дело</t>
  </si>
  <si>
    <t>35.02.16 Эксплуатация и ремонт сельскохозйственной техники и оборудования</t>
  </si>
  <si>
    <t>43.02.02 Парикмахерское искусство</t>
  </si>
  <si>
    <t>43.02.14 Гостиничное дело</t>
  </si>
  <si>
    <t>23.02.07 Техническое обслуживание и ремонт двигателей , систем и агрегатов автомобиля</t>
  </si>
  <si>
    <t>08.02.11 управление,эксплуатация и обслуживание многоквартирного дома</t>
  </si>
  <si>
    <t xml:space="preserve">38.02.04 Коммерция в индустрии моды </t>
  </si>
  <si>
    <t>_________________________</t>
  </si>
  <si>
    <t xml:space="preserve"> </t>
  </si>
  <si>
    <t>Приложение № 7</t>
  </si>
  <si>
    <t>Государственное задание на оказание государственных услуг по присмотру и уходу 
на 2020 год и на плановый период 2021 и 2022 годов</t>
  </si>
  <si>
    <t>Вид деятельности</t>
  </si>
  <si>
    <t>Государственное задание, число детей</t>
  </si>
  <si>
    <t>Кировское областное государственное общеобразовательное автономное учреждение «Вятская гуманитарная гимназия с углубленным изучением английского языка»</t>
  </si>
  <si>
    <t>начальное общее образание</t>
  </si>
  <si>
    <t>Кировское областное государственное общеобразовательное автономное учреждение «Лицей естественных наук»</t>
  </si>
  <si>
    <t>Кировское областное государственное общеобразовательное бюджетное учреждение "Средняя школа пгт Лёвинцы Оричевского района"</t>
  </si>
  <si>
    <t>Государственное задание на оказание государственных услуг по реализации основных общеобразовательных программ 
дошкольного образования на 2020 год и на плановый период 2021 и 2022 годов</t>
  </si>
  <si>
    <t>Государственное задание на оказание государственных услуг по содержанию детей на 2020 год и на плановый период 2021 и 2022 годов</t>
  </si>
  <si>
    <t>23.02.07 Техническое обслуживание и ремонт двигателей, систем и агрегатов автомобиля</t>
  </si>
  <si>
    <t>от 30.06.2020          № 769</t>
  </si>
  <si>
    <t>от     30.06.2020                     № 769</t>
  </si>
  <si>
    <t>от     30.06.2020                     №</t>
  </si>
  <si>
    <t>от       30.06.2020                   № 769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</si>
</sst>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19">
    <font>
      <sz val="11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0" borderId="1">
      <alignment horizontal="left" vertical="top" wrapText="1"/>
    </xf>
    <xf numFmtId="0" fontId="2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2" borderId="2" applyNumberFormat="0" applyAlignment="0" applyProtection="0"/>
    <xf numFmtId="0" fontId="17" fillId="12" borderId="2" applyNumberFormat="0" applyAlignment="0" applyProtection="0"/>
    <xf numFmtId="9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</cellStyleXfs>
  <cellXfs count="192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4" fillId="0" borderId="0" xfId="0" applyFont="1" applyFill="1" applyAlignment="1"/>
    <xf numFmtId="0" fontId="4" fillId="0" borderId="0" xfId="0" applyFont="1" applyBorder="1"/>
    <xf numFmtId="0" fontId="4" fillId="0" borderId="0" xfId="0" applyFont="1"/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8" fillId="13" borderId="3" xfId="0" applyFont="1" applyFill="1" applyBorder="1" applyAlignment="1">
      <alignment horizontal="center" vertical="top"/>
    </xf>
    <xf numFmtId="0" fontId="8" fillId="13" borderId="1" xfId="0" applyFont="1" applyFill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top"/>
    </xf>
    <xf numFmtId="1" fontId="8" fillId="13" borderId="1" xfId="0" applyNumberFormat="1" applyFont="1" applyFill="1" applyBorder="1" applyAlignment="1">
      <alignment horizontal="center" vertical="top"/>
    </xf>
    <xf numFmtId="0" fontId="0" fillId="0" borderId="0" xfId="0" applyFont="1"/>
    <xf numFmtId="0" fontId="8" fillId="13" borderId="1" xfId="0" applyFont="1" applyFill="1" applyBorder="1" applyAlignment="1">
      <alignment horizontal="left" vertical="top" wrapText="1"/>
    </xf>
    <xf numFmtId="0" fontId="4" fillId="13" borderId="1" xfId="0" applyFont="1" applyFill="1" applyBorder="1" applyAlignment="1">
      <alignment horizontal="left" vertical="top" wrapText="1"/>
    </xf>
    <xf numFmtId="1" fontId="4" fillId="13" borderId="1" xfId="0" applyNumberFormat="1" applyFont="1" applyFill="1" applyBorder="1" applyAlignment="1">
      <alignment horizontal="center" vertical="top"/>
    </xf>
    <xf numFmtId="0" fontId="4" fillId="13" borderId="4" xfId="0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center" wrapText="1"/>
    </xf>
    <xf numFmtId="0" fontId="4" fillId="13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1" fontId="0" fillId="0" borderId="0" xfId="0" applyNumberFormat="1"/>
    <xf numFmtId="0" fontId="5" fillId="0" borderId="0" xfId="0" applyFont="1" applyAlignment="1"/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0" fillId="0" borderId="0" xfId="0" applyNumberFormat="1" applyFont="1"/>
    <xf numFmtId="0" fontId="8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top"/>
    </xf>
    <xf numFmtId="0" fontId="9" fillId="0" borderId="0" xfId="0" applyFont="1"/>
    <xf numFmtId="1" fontId="9" fillId="0" borderId="0" xfId="0" applyNumberFormat="1" applyFont="1"/>
    <xf numFmtId="0" fontId="8" fillId="13" borderId="8" xfId="0" applyFont="1" applyFill="1" applyBorder="1" applyAlignment="1">
      <alignment horizontal="center" vertical="top"/>
    </xf>
    <xf numFmtId="0" fontId="8" fillId="13" borderId="4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/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4" fillId="0" borderId="0" xfId="0" applyFont="1" applyBorder="1" applyAlignment="1"/>
    <xf numFmtId="0" fontId="8" fillId="0" borderId="1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" fontId="8" fillId="13" borderId="4" xfId="0" applyNumberFormat="1" applyFont="1" applyFill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/>
    <xf numFmtId="1" fontId="8" fillId="0" borderId="0" xfId="0" applyNumberFormat="1" applyFont="1"/>
    <xf numFmtId="0" fontId="8" fillId="0" borderId="0" xfId="0" applyFont="1" applyAlignment="1"/>
    <xf numFmtId="0" fontId="8" fillId="0" borderId="0" xfId="0" applyFont="1" applyBorder="1" applyAlignment="1"/>
    <xf numFmtId="0" fontId="5" fillId="0" borderId="0" xfId="0" applyFont="1" applyBorder="1"/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4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9" fillId="13" borderId="0" xfId="0" applyFont="1" applyFill="1"/>
    <xf numFmtId="0" fontId="10" fillId="13" borderId="0" xfId="0" applyFont="1" applyFill="1" applyAlignment="1">
      <alignment horizontal="center" vertical="center"/>
    </xf>
    <xf numFmtId="0" fontId="4" fillId="13" borderId="0" xfId="0" applyFont="1" applyFill="1" applyAlignment="1"/>
    <xf numFmtId="0" fontId="11" fillId="13" borderId="0" xfId="0" applyFont="1" applyFill="1"/>
    <xf numFmtId="0" fontId="10" fillId="0" borderId="0" xfId="0" applyFont="1" applyAlignment="1"/>
    <xf numFmtId="0" fontId="10" fillId="13" borderId="0" xfId="0" applyFont="1" applyFill="1"/>
    <xf numFmtId="0" fontId="12" fillId="13" borderId="0" xfId="0" applyFont="1" applyFill="1" applyAlignment="1"/>
    <xf numFmtId="0" fontId="12" fillId="13" borderId="0" xfId="0" applyFont="1" applyFill="1"/>
    <xf numFmtId="0" fontId="10" fillId="0" borderId="0" xfId="0" applyFont="1" applyFill="1" applyAlignment="1"/>
    <xf numFmtId="0" fontId="12" fillId="13" borderId="0" xfId="0" applyFont="1" applyFill="1" applyAlignment="1">
      <alignment horizontal="center" vertical="center"/>
    </xf>
    <xf numFmtId="0" fontId="7" fillId="13" borderId="0" xfId="0" applyFont="1" applyFill="1" applyBorder="1" applyAlignment="1">
      <alignment horizontal="center" vertical="top" wrapText="1"/>
    </xf>
    <xf numFmtId="0" fontId="7" fillId="13" borderId="1" xfId="0" applyFont="1" applyFill="1" applyBorder="1" applyAlignment="1">
      <alignment horizontal="center" vertical="top" wrapText="1"/>
    </xf>
    <xf numFmtId="0" fontId="7" fillId="13" borderId="6" xfId="0" applyFont="1" applyFill="1" applyBorder="1" applyAlignment="1">
      <alignment horizontal="center" vertical="top" wrapText="1"/>
    </xf>
    <xf numFmtId="0" fontId="9" fillId="0" borderId="6" xfId="0" applyFont="1" applyBorder="1" applyAlignment="1"/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13" borderId="1" xfId="0" applyFont="1" applyFill="1" applyBorder="1" applyAlignment="1">
      <alignment vertical="top" wrapText="1"/>
    </xf>
    <xf numFmtId="0" fontId="14" fillId="13" borderId="3" xfId="0" applyFont="1" applyFill="1" applyBorder="1" applyAlignment="1">
      <alignment vertical="top" wrapText="1"/>
    </xf>
    <xf numFmtId="0" fontId="14" fillId="13" borderId="11" xfId="0" applyFont="1" applyFill="1" applyBorder="1" applyAlignment="1">
      <alignment vertical="top" wrapText="1"/>
    </xf>
    <xf numFmtId="0" fontId="14" fillId="13" borderId="7" xfId="0" applyFont="1" applyFill="1" applyBorder="1" applyAlignment="1">
      <alignment vertical="top" wrapText="1"/>
    </xf>
    <xf numFmtId="0" fontId="14" fillId="13" borderId="1" xfId="0" applyFont="1" applyFill="1" applyBorder="1" applyAlignment="1">
      <alignment vertical="top" wrapText="1"/>
    </xf>
    <xf numFmtId="0" fontId="15" fillId="14" borderId="1" xfId="0" applyFont="1" applyFill="1" applyBorder="1" applyAlignment="1">
      <alignment vertical="top" wrapText="1"/>
    </xf>
    <xf numFmtId="0" fontId="9" fillId="14" borderId="0" xfId="0" applyFont="1" applyFill="1"/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0" fontId="14" fillId="13" borderId="1" xfId="0" applyNumberFormat="1" applyFont="1" applyFill="1" applyBorder="1" applyAlignment="1">
      <alignment vertical="top" wrapText="1"/>
    </xf>
    <xf numFmtId="0" fontId="14" fillId="13" borderId="4" xfId="0" applyFont="1" applyFill="1" applyBorder="1" applyAlignment="1">
      <alignment vertical="top" wrapText="1"/>
    </xf>
    <xf numFmtId="1" fontId="14" fillId="13" borderId="1" xfId="0" applyNumberFormat="1" applyFont="1" applyFill="1" applyBorder="1" applyAlignment="1">
      <alignment horizontal="center" vertical="top" wrapText="1"/>
    </xf>
    <xf numFmtId="1" fontId="14" fillId="13" borderId="5" xfId="0" applyNumberFormat="1" applyFont="1" applyFill="1" applyBorder="1" applyAlignment="1">
      <alignment horizontal="center" vertical="top" wrapText="1"/>
    </xf>
    <xf numFmtId="0" fontId="14" fillId="13" borderId="9" xfId="0" applyFont="1" applyFill="1" applyBorder="1" applyAlignment="1">
      <alignment vertical="top" wrapText="1"/>
    </xf>
    <xf numFmtId="0" fontId="14" fillId="13" borderId="8" xfId="0" applyFont="1" applyFill="1" applyBorder="1" applyAlignment="1">
      <alignment vertical="top" wrapText="1"/>
    </xf>
    <xf numFmtId="0" fontId="14" fillId="13" borderId="12" xfId="0" applyFont="1" applyFill="1" applyBorder="1" applyAlignment="1">
      <alignment vertical="top" wrapText="1"/>
    </xf>
    <xf numFmtId="0" fontId="14" fillId="13" borderId="13" xfId="0" applyFont="1" applyFill="1" applyBorder="1" applyAlignment="1">
      <alignment vertical="top" wrapText="1"/>
    </xf>
    <xf numFmtId="0" fontId="14" fillId="13" borderId="6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0" fontId="9" fillId="0" borderId="1" xfId="0" applyFont="1" applyBorder="1"/>
    <xf numFmtId="0" fontId="15" fillId="13" borderId="1" xfId="0" applyFont="1" applyFill="1" applyBorder="1" applyAlignment="1">
      <alignment wrapText="1"/>
    </xf>
    <xf numFmtId="0" fontId="14" fillId="13" borderId="14" xfId="0" applyFont="1" applyFill="1" applyBorder="1" applyAlignment="1">
      <alignment vertical="top" wrapText="1"/>
    </xf>
    <xf numFmtId="0" fontId="14" fillId="13" borderId="5" xfId="0" applyFont="1" applyFill="1" applyBorder="1" applyAlignment="1">
      <alignment vertical="top" wrapText="1"/>
    </xf>
    <xf numFmtId="0" fontId="14" fillId="13" borderId="10" xfId="0" applyFont="1" applyFill="1" applyBorder="1" applyAlignment="1">
      <alignment vertical="top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vertical="top" wrapText="1"/>
    </xf>
    <xf numFmtId="0" fontId="14" fillId="13" borderId="16" xfId="0" applyFont="1" applyFill="1" applyBorder="1" applyAlignment="1">
      <alignment vertical="top" wrapText="1"/>
    </xf>
    <xf numFmtId="0" fontId="14" fillId="13" borderId="0" xfId="0" applyFont="1" applyFill="1" applyBorder="1" applyAlignment="1">
      <alignment vertical="top" wrapText="1"/>
    </xf>
    <xf numFmtId="0" fontId="16" fillId="13" borderId="0" xfId="0" applyFont="1" applyFill="1" applyBorder="1" applyAlignment="1">
      <alignment vertical="top" wrapText="1"/>
    </xf>
    <xf numFmtId="0" fontId="16" fillId="13" borderId="0" xfId="0" applyFont="1" applyFill="1" applyBorder="1" applyAlignment="1">
      <alignment horizontal="center" vertical="center" wrapText="1"/>
    </xf>
    <xf numFmtId="0" fontId="14" fillId="13" borderId="0" xfId="0" applyFont="1" applyFill="1" applyBorder="1" applyAlignment="1">
      <alignment horizontal="center" vertical="top" wrapText="1"/>
    </xf>
    <xf numFmtId="1" fontId="14" fillId="13" borderId="0" xfId="0" applyNumberFormat="1" applyFont="1" applyFill="1" applyBorder="1" applyAlignment="1">
      <alignment horizontal="center" vertical="top" wrapText="1"/>
    </xf>
    <xf numFmtId="1" fontId="14" fillId="13" borderId="3" xfId="0" applyNumberFormat="1" applyFont="1" applyFill="1" applyBorder="1" applyAlignment="1">
      <alignment horizontal="center" vertical="top" wrapText="1"/>
    </xf>
    <xf numFmtId="1" fontId="14" fillId="13" borderId="1" xfId="0" applyNumberFormat="1" applyFont="1" applyFill="1" applyBorder="1" applyAlignment="1">
      <alignment horizontal="center" vertical="top"/>
    </xf>
    <xf numFmtId="1" fontId="14" fillId="13" borderId="4" xfId="0" applyNumberFormat="1" applyFont="1" applyFill="1" applyBorder="1" applyAlignment="1">
      <alignment horizontal="center" vertical="top" wrapText="1"/>
    </xf>
    <xf numFmtId="1" fontId="14" fillId="13" borderId="1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/>
    </xf>
    <xf numFmtId="1" fontId="14" fillId="13" borderId="1" xfId="0" applyNumberFormat="1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0" fontId="4" fillId="13" borderId="1" xfId="0" applyFont="1" applyFill="1" applyBorder="1" applyAlignment="1">
      <alignment horizontal="center" vertical="top"/>
    </xf>
    <xf numFmtId="0" fontId="4" fillId="13" borderId="3" xfId="0" applyFont="1" applyFill="1" applyBorder="1" applyAlignment="1">
      <alignment horizontal="center" vertical="top"/>
    </xf>
    <xf numFmtId="1" fontId="4" fillId="13" borderId="4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9" fillId="13" borderId="1" xfId="0" applyFont="1" applyFill="1" applyBorder="1" applyAlignment="1">
      <alignment horizontal="center" vertical="top"/>
    </xf>
    <xf numFmtId="1" fontId="4" fillId="13" borderId="5" xfId="0" applyNumberFormat="1" applyFont="1" applyFill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1" fontId="4" fillId="0" borderId="4" xfId="0" applyNumberFormat="1" applyFont="1" applyFill="1" applyBorder="1" applyAlignment="1">
      <alignment horizontal="center" vertical="top"/>
    </xf>
    <xf numFmtId="0" fontId="4" fillId="13" borderId="4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 wrapText="1"/>
    </xf>
    <xf numFmtId="1" fontId="4" fillId="13" borderId="3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1" fontId="14" fillId="15" borderId="1" xfId="0" applyNumberFormat="1" applyFont="1" applyFill="1" applyBorder="1" applyAlignment="1">
      <alignment horizontal="center" vertical="top" wrapText="1"/>
    </xf>
    <xf numFmtId="1" fontId="18" fillId="15" borderId="1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13" borderId="0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left" vertical="top" wrapText="1"/>
    </xf>
    <xf numFmtId="0" fontId="4" fillId="15" borderId="1" xfId="0" applyFont="1" applyFill="1" applyBorder="1" applyAlignment="1">
      <alignment horizontal="center" vertical="top"/>
    </xf>
    <xf numFmtId="1" fontId="4" fillId="15" borderId="1" xfId="0" applyNumberFormat="1" applyFont="1" applyFill="1" applyBorder="1" applyAlignment="1">
      <alignment horizontal="center" vertical="top"/>
    </xf>
    <xf numFmtId="1" fontId="4" fillId="16" borderId="3" xfId="0" applyNumberFormat="1" applyFont="1" applyFill="1" applyBorder="1" applyAlignment="1">
      <alignment horizontal="center" vertical="top"/>
    </xf>
    <xf numFmtId="1" fontId="4" fillId="16" borderId="1" xfId="0" applyNumberFormat="1" applyFont="1" applyFill="1" applyBorder="1" applyAlignment="1">
      <alignment horizontal="center" vertical="top"/>
    </xf>
    <xf numFmtId="0" fontId="4" fillId="16" borderId="1" xfId="0" applyFont="1" applyFill="1" applyBorder="1" applyAlignment="1">
      <alignment horizontal="center" vertical="center" wrapText="1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xl32" xfId="13"/>
    <cellStyle name="Обычный" xfId="0" builtinId="0"/>
    <cellStyle name="Обычный 2" xfId="14"/>
    <cellStyle name="Обычный 2 2" xfId="15"/>
    <cellStyle name="Обычный 2 2 2" xfId="16"/>
    <cellStyle name="Обычный 2 3" xfId="17"/>
    <cellStyle name="Обычный 3" xfId="18"/>
    <cellStyle name="Обычный 3 2" xfId="19"/>
    <cellStyle name="Обычный 4" xfId="20"/>
    <cellStyle name="Обычный 5" xfId="21"/>
    <cellStyle name="Примечание 2" xfId="22"/>
    <cellStyle name="Примечание 3" xfId="23"/>
    <cellStyle name="Процентный 2" xfId="24"/>
    <cellStyle name="Финансовый 2" xfId="25"/>
    <cellStyle name="Финансовый 2 2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I25"/>
  <sheetViews>
    <sheetView view="pageBreakPreview" zoomScaleSheetLayoutView="100" workbookViewId="0">
      <pane ySplit="9" topLeftCell="A19" activePane="bottomLeft" state="frozen"/>
      <selection activeCell="A11" sqref="A11"/>
      <selection pane="bottomLeft" activeCell="G5" sqref="G5"/>
    </sheetView>
  </sheetViews>
  <sheetFormatPr defaultRowHeight="14.4"/>
  <cols>
    <col min="1" max="1" width="6.44140625" customWidth="1"/>
    <col min="2" max="2" width="64.44140625" customWidth="1"/>
    <col min="3" max="3" width="10.6640625" customWidth="1"/>
    <col min="4" max="4" width="11.33203125" customWidth="1"/>
    <col min="5" max="5" width="11.6640625" customWidth="1"/>
    <col min="6" max="6" width="10.6640625" customWidth="1"/>
    <col min="7" max="7" width="15.44140625" customWidth="1"/>
    <col min="8" max="8" width="15" customWidth="1"/>
    <col min="9" max="9" width="14.88671875" customWidth="1"/>
    <col min="10" max="11" width="9.109375" customWidth="1"/>
  </cols>
  <sheetData>
    <row r="1" spans="1:9" ht="15.6">
      <c r="A1" s="1"/>
      <c r="B1" s="1"/>
      <c r="E1" s="1"/>
      <c r="F1" s="1"/>
      <c r="G1" s="1" t="s">
        <v>1</v>
      </c>
      <c r="H1" s="2"/>
      <c r="I1" s="2"/>
    </row>
    <row r="2" spans="1:9" ht="33" customHeight="1">
      <c r="A2" s="1"/>
      <c r="B2" s="1"/>
      <c r="E2" s="1"/>
      <c r="F2" s="1"/>
      <c r="G2" s="1" t="s">
        <v>30</v>
      </c>
      <c r="H2" s="2"/>
      <c r="I2" s="2"/>
    </row>
    <row r="3" spans="1:9" ht="30.75" customHeight="1">
      <c r="A3" s="3" t="s">
        <v>2</v>
      </c>
      <c r="B3" s="3"/>
      <c r="E3" s="3"/>
      <c r="F3" s="3"/>
      <c r="G3" s="3" t="s">
        <v>3</v>
      </c>
      <c r="H3" s="2"/>
      <c r="I3" s="2"/>
    </row>
    <row r="4" spans="1:9" ht="15.6">
      <c r="A4" s="3"/>
      <c r="B4" s="3"/>
      <c r="E4" s="3"/>
      <c r="F4" s="3"/>
      <c r="G4" s="3" t="s">
        <v>4</v>
      </c>
      <c r="H4" s="3"/>
      <c r="I4" s="3"/>
    </row>
    <row r="5" spans="1:9" ht="15.6">
      <c r="A5" s="1"/>
      <c r="B5" s="1"/>
      <c r="E5" s="1"/>
      <c r="F5" s="1"/>
      <c r="G5" s="1" t="s">
        <v>515</v>
      </c>
      <c r="H5" s="2"/>
      <c r="I5" s="2"/>
    </row>
    <row r="6" spans="1:9" ht="15.6">
      <c r="A6" s="1"/>
      <c r="B6" s="1"/>
      <c r="E6" s="1"/>
      <c r="F6" s="1"/>
      <c r="G6" s="1"/>
      <c r="H6" s="2"/>
      <c r="I6" s="2"/>
    </row>
    <row r="7" spans="1:9" ht="15.6">
      <c r="A7" s="1"/>
      <c r="B7" s="1"/>
      <c r="E7" s="1"/>
      <c r="F7" s="1"/>
      <c r="G7" s="1"/>
      <c r="H7" s="2"/>
      <c r="I7" s="2"/>
    </row>
    <row r="8" spans="1:9" ht="15.6">
      <c r="A8" s="4"/>
      <c r="B8" s="4"/>
      <c r="C8" s="5"/>
      <c r="D8" s="2"/>
      <c r="E8" s="2"/>
      <c r="F8" s="2"/>
      <c r="G8" s="2"/>
    </row>
    <row r="9" spans="1:9" ht="63" customHeight="1">
      <c r="A9" s="171" t="s">
        <v>512</v>
      </c>
      <c r="B9" s="171"/>
      <c r="C9" s="171"/>
      <c r="D9" s="171"/>
      <c r="E9" s="171"/>
      <c r="F9" s="171"/>
      <c r="G9" s="171"/>
      <c r="H9" s="171"/>
      <c r="I9" s="171"/>
    </row>
    <row r="10" spans="1:9" ht="15.75" customHeight="1">
      <c r="A10" s="6"/>
      <c r="B10" s="6"/>
      <c r="C10" s="6"/>
      <c r="D10" s="6"/>
      <c r="E10" s="6"/>
      <c r="F10" s="7"/>
      <c r="G10" s="7"/>
    </row>
    <row r="11" spans="1:9" ht="15.75" customHeight="1">
      <c r="A11" s="172" t="s">
        <v>6</v>
      </c>
      <c r="B11" s="172" t="s">
        <v>7</v>
      </c>
      <c r="C11" s="172" t="s">
        <v>8</v>
      </c>
      <c r="D11" s="172"/>
      <c r="E11" s="172"/>
      <c r="F11" s="172"/>
      <c r="G11" s="172"/>
      <c r="H11" s="172"/>
      <c r="I11" s="172"/>
    </row>
    <row r="12" spans="1:9" ht="31.2">
      <c r="A12" s="172"/>
      <c r="B12" s="172"/>
      <c r="C12" s="9" t="s">
        <v>9</v>
      </c>
      <c r="D12" s="9" t="s">
        <v>10</v>
      </c>
      <c r="E12" s="9" t="s">
        <v>11</v>
      </c>
      <c r="F12" s="9" t="s">
        <v>12</v>
      </c>
      <c r="G12" s="9" t="s">
        <v>13</v>
      </c>
      <c r="H12" s="9" t="s">
        <v>14</v>
      </c>
      <c r="I12" s="9" t="s">
        <v>15</v>
      </c>
    </row>
    <row r="13" spans="1:9" s="16" customFormat="1" ht="47.25" customHeight="1">
      <c r="A13" s="10">
        <v>1</v>
      </c>
      <c r="B13" s="11" t="s">
        <v>16</v>
      </c>
      <c r="C13" s="12">
        <v>58</v>
      </c>
      <c r="D13" s="12">
        <f>58+5</f>
        <v>63</v>
      </c>
      <c r="E13" s="13">
        <v>55</v>
      </c>
      <c r="F13" s="13">
        <f>50-5</f>
        <v>45</v>
      </c>
      <c r="G13" s="14">
        <f t="shared" ref="G13:G21" si="0">ROUND(SUM(C13:F13)/4,0)</f>
        <v>55</v>
      </c>
      <c r="H13" s="15">
        <v>50</v>
      </c>
      <c r="I13" s="15">
        <v>48</v>
      </c>
    </row>
    <row r="14" spans="1:9" s="16" customFormat="1" ht="47.25" customHeight="1">
      <c r="A14" s="10">
        <v>2</v>
      </c>
      <c r="B14" s="17" t="s">
        <v>17</v>
      </c>
      <c r="C14" s="12">
        <v>22</v>
      </c>
      <c r="D14" s="12">
        <v>22</v>
      </c>
      <c r="E14" s="12">
        <v>21</v>
      </c>
      <c r="F14" s="12">
        <v>21</v>
      </c>
      <c r="G14" s="14">
        <f t="shared" si="0"/>
        <v>22</v>
      </c>
      <c r="H14" s="12">
        <v>19</v>
      </c>
      <c r="I14" s="12">
        <v>17</v>
      </c>
    </row>
    <row r="15" spans="1:9" s="16" customFormat="1" ht="63" customHeight="1">
      <c r="A15" s="10">
        <v>3</v>
      </c>
      <c r="B15" s="17" t="s">
        <v>18</v>
      </c>
      <c r="C15" s="12">
        <v>4</v>
      </c>
      <c r="D15" s="12">
        <v>4</v>
      </c>
      <c r="E15" s="13">
        <v>4</v>
      </c>
      <c r="F15" s="13">
        <v>4</v>
      </c>
      <c r="G15" s="14">
        <f t="shared" si="0"/>
        <v>4</v>
      </c>
      <c r="H15" s="15">
        <v>3</v>
      </c>
      <c r="I15" s="15">
        <v>3</v>
      </c>
    </row>
    <row r="16" spans="1:9" s="16" customFormat="1" ht="46.8">
      <c r="A16" s="10">
        <v>4</v>
      </c>
      <c r="B16" s="17" t="s">
        <v>19</v>
      </c>
      <c r="C16" s="13">
        <f>57+1</f>
        <v>58</v>
      </c>
      <c r="D16" s="13">
        <f>57+1</f>
        <v>58</v>
      </c>
      <c r="E16" s="13">
        <v>54</v>
      </c>
      <c r="F16" s="13">
        <f>47-1-1</f>
        <v>45</v>
      </c>
      <c r="G16" s="14">
        <f t="shared" si="0"/>
        <v>54</v>
      </c>
      <c r="H16" s="15">
        <v>47</v>
      </c>
      <c r="I16" s="15">
        <v>47</v>
      </c>
    </row>
    <row r="17" spans="1:9" s="40" customFormat="1" ht="46.8">
      <c r="A17" s="8">
        <v>5</v>
      </c>
      <c r="B17" s="18" t="s">
        <v>20</v>
      </c>
      <c r="C17" s="149">
        <f>27-1</f>
        <v>26</v>
      </c>
      <c r="D17" s="149">
        <f>27-2</f>
        <v>25</v>
      </c>
      <c r="E17" s="148">
        <v>28</v>
      </c>
      <c r="F17" s="148">
        <f>30+1+2</f>
        <v>33</v>
      </c>
      <c r="G17" s="144">
        <f t="shared" si="0"/>
        <v>28</v>
      </c>
      <c r="H17" s="19">
        <v>27</v>
      </c>
      <c r="I17" s="19">
        <v>20</v>
      </c>
    </row>
    <row r="18" spans="1:9" s="16" customFormat="1" ht="46.8">
      <c r="A18" s="10">
        <v>6</v>
      </c>
      <c r="B18" s="17" t="s">
        <v>21</v>
      </c>
      <c r="C18" s="12">
        <f>32-1</f>
        <v>31</v>
      </c>
      <c r="D18" s="12">
        <f>32-1</f>
        <v>31</v>
      </c>
      <c r="E18" s="13">
        <v>29</v>
      </c>
      <c r="F18" s="13">
        <f>22+1+1</f>
        <v>24</v>
      </c>
      <c r="G18" s="14">
        <f t="shared" si="0"/>
        <v>29</v>
      </c>
      <c r="H18" s="15">
        <v>22</v>
      </c>
      <c r="I18" s="15">
        <v>22</v>
      </c>
    </row>
    <row r="19" spans="1:9" s="40" customFormat="1" ht="62.4">
      <c r="A19" s="8">
        <v>7</v>
      </c>
      <c r="B19" s="20" t="s">
        <v>22</v>
      </c>
      <c r="C19" s="149">
        <v>59</v>
      </c>
      <c r="D19" s="149">
        <v>59</v>
      </c>
      <c r="E19" s="148">
        <v>59</v>
      </c>
      <c r="F19" s="148">
        <v>59</v>
      </c>
      <c r="G19" s="144">
        <f t="shared" si="0"/>
        <v>59</v>
      </c>
      <c r="H19" s="19">
        <v>59</v>
      </c>
      <c r="I19" s="19">
        <v>59</v>
      </c>
    </row>
    <row r="20" spans="1:9" s="40" customFormat="1" ht="46.8">
      <c r="A20" s="8">
        <v>8</v>
      </c>
      <c r="B20" s="18" t="s">
        <v>23</v>
      </c>
      <c r="C20" s="149">
        <f>27-1</f>
        <v>26</v>
      </c>
      <c r="D20" s="149">
        <v>27</v>
      </c>
      <c r="E20" s="149">
        <v>27</v>
      </c>
      <c r="F20" s="149">
        <f>26+1</f>
        <v>27</v>
      </c>
      <c r="G20" s="144">
        <f t="shared" si="0"/>
        <v>27</v>
      </c>
      <c r="H20" s="19">
        <v>26</v>
      </c>
      <c r="I20" s="19">
        <v>25</v>
      </c>
    </row>
    <row r="21" spans="1:9" s="16" customFormat="1" ht="46.8">
      <c r="A21" s="10">
        <v>9</v>
      </c>
      <c r="B21" s="17" t="s">
        <v>24</v>
      </c>
      <c r="C21" s="12">
        <f>14+2</f>
        <v>16</v>
      </c>
      <c r="D21" s="12">
        <f>14+2</f>
        <v>16</v>
      </c>
      <c r="E21" s="12">
        <v>14</v>
      </c>
      <c r="F21" s="12">
        <f>14-2-2</f>
        <v>10</v>
      </c>
      <c r="G21" s="14">
        <f t="shared" si="0"/>
        <v>14</v>
      </c>
      <c r="H21" s="15">
        <v>14</v>
      </c>
      <c r="I21" s="15">
        <v>14</v>
      </c>
    </row>
    <row r="22" spans="1:9" s="40" customFormat="1" ht="46.8">
      <c r="A22" s="8">
        <v>10</v>
      </c>
      <c r="B22" s="18" t="s">
        <v>25</v>
      </c>
      <c r="C22" s="149">
        <v>10</v>
      </c>
      <c r="D22" s="149">
        <f>10-1</f>
        <v>9</v>
      </c>
      <c r="E22" s="149">
        <v>10</v>
      </c>
      <c r="F22" s="149">
        <f>12+1</f>
        <v>13</v>
      </c>
      <c r="G22" s="21">
        <v>10.4</v>
      </c>
      <c r="H22" s="19">
        <v>11</v>
      </c>
      <c r="I22" s="19">
        <v>13</v>
      </c>
    </row>
    <row r="23" spans="1:9" s="40" customFormat="1" ht="62.4">
      <c r="A23" s="22">
        <v>11</v>
      </c>
      <c r="B23" s="23" t="s">
        <v>26</v>
      </c>
      <c r="C23" s="162">
        <v>53</v>
      </c>
      <c r="D23" s="163">
        <v>53</v>
      </c>
      <c r="E23" s="163">
        <v>53</v>
      </c>
      <c r="F23" s="164">
        <v>53</v>
      </c>
      <c r="G23" s="164">
        <f>ROUND(SUM(C23:F23)/4,0)</f>
        <v>53</v>
      </c>
      <c r="H23" s="24">
        <v>53</v>
      </c>
      <c r="I23" s="24">
        <v>53</v>
      </c>
    </row>
    <row r="24" spans="1:9" s="40" customFormat="1" ht="46.8">
      <c r="A24" s="8">
        <v>12</v>
      </c>
      <c r="B24" s="25" t="s">
        <v>27</v>
      </c>
      <c r="C24" s="158">
        <v>20</v>
      </c>
      <c r="D24" s="158">
        <v>20</v>
      </c>
      <c r="E24" s="158">
        <v>20</v>
      </c>
      <c r="F24" s="144">
        <v>20</v>
      </c>
      <c r="G24" s="144">
        <f>ROUND(SUM(C24:F24)/4,0)</f>
        <v>20</v>
      </c>
      <c r="H24" s="146">
        <v>20</v>
      </c>
      <c r="I24" s="24">
        <v>20</v>
      </c>
    </row>
    <row r="25" spans="1:9" ht="15.6">
      <c r="A25" s="26"/>
      <c r="B25" s="27" t="s">
        <v>28</v>
      </c>
      <c r="C25" s="166">
        <f>SUM(C13:C24)</f>
        <v>383</v>
      </c>
      <c r="D25" s="166">
        <f>SUM(D13:D24)</f>
        <v>387</v>
      </c>
      <c r="E25" s="166">
        <f>SUM(E13:E24)</f>
        <v>374</v>
      </c>
      <c r="F25" s="166">
        <f>SUM(F13:F24)</f>
        <v>354</v>
      </c>
      <c r="G25" s="166">
        <f>ROUND(SUM(C25:F25)/4,0)</f>
        <v>375</v>
      </c>
      <c r="H25" s="167">
        <f>SUM(H13:H24)</f>
        <v>351</v>
      </c>
      <c r="I25" s="167">
        <f>SUM(I13:I24)</f>
        <v>341</v>
      </c>
    </row>
  </sheetData>
  <sheetProtection selectLockedCells="1" selectUnlockedCells="1"/>
  <mergeCells count="4">
    <mergeCell ref="A9:I9"/>
    <mergeCell ref="A11:A12"/>
    <mergeCell ref="B11:B12"/>
    <mergeCell ref="C11:I11"/>
  </mergeCells>
  <pageMargins left="1.1416666666666666" right="0.39374999999999999" top="0.78749999999999998" bottom="0.74791666666666667" header="0.51180555555555551" footer="0.51180555555555551"/>
  <pageSetup paperSize="9" scale="5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J109"/>
  <sheetViews>
    <sheetView view="pageBreakPreview" zoomScaleSheetLayoutView="100" workbookViewId="0">
      <pane xSplit="2" ySplit="13" topLeftCell="C14" activePane="bottomRight" state="frozen"/>
      <selection pane="topRight" activeCell="C1" sqref="C1"/>
      <selection pane="bottomLeft" activeCell="A16" sqref="A16"/>
      <selection pane="bottomRight" activeCell="A95" sqref="A95:I95"/>
    </sheetView>
  </sheetViews>
  <sheetFormatPr defaultRowHeight="14.4"/>
  <cols>
    <col min="1" max="1" width="4.6640625" customWidth="1"/>
    <col min="2" max="2" width="46" customWidth="1"/>
    <col min="3" max="3" width="11" customWidth="1"/>
    <col min="4" max="4" width="11.6640625" customWidth="1"/>
    <col min="5" max="5" width="11.109375" customWidth="1"/>
    <col min="6" max="6" width="12.44140625" customWidth="1"/>
    <col min="7" max="7" width="12.109375" customWidth="1"/>
    <col min="8" max="8" width="11.88671875" customWidth="1"/>
    <col min="9" max="9" width="12" customWidth="1"/>
  </cols>
  <sheetData>
    <row r="1" spans="1:10" ht="15.6" hidden="1">
      <c r="E1" s="1" t="s">
        <v>0</v>
      </c>
      <c r="F1" s="1"/>
    </row>
    <row r="2" spans="1:10" hidden="1"/>
    <row r="3" spans="1:10" ht="15.6">
      <c r="A3" s="1"/>
      <c r="B3" s="1"/>
      <c r="E3" s="1"/>
      <c r="F3" s="1" t="s">
        <v>29</v>
      </c>
      <c r="G3" s="2"/>
      <c r="H3" s="2"/>
      <c r="I3" s="2"/>
    </row>
    <row r="4" spans="1:10" ht="33" customHeight="1">
      <c r="A4" s="3"/>
      <c r="B4" s="3"/>
      <c r="E4" s="3"/>
      <c r="F4" s="1" t="s">
        <v>30</v>
      </c>
      <c r="G4" s="2"/>
      <c r="H4" s="2"/>
      <c r="I4" s="2"/>
    </row>
    <row r="5" spans="1:10" ht="34.5" customHeight="1">
      <c r="A5" s="3"/>
      <c r="B5" s="3"/>
      <c r="E5" s="3"/>
      <c r="F5" s="3" t="s">
        <v>3</v>
      </c>
      <c r="G5" s="2"/>
      <c r="H5" s="2"/>
      <c r="I5" s="29"/>
    </row>
    <row r="6" spans="1:10" ht="15.6">
      <c r="A6" s="1"/>
      <c r="B6" s="1"/>
      <c r="E6" s="1"/>
      <c r="F6" s="3" t="s">
        <v>4</v>
      </c>
      <c r="G6" s="3"/>
      <c r="H6" s="3"/>
      <c r="I6" s="2"/>
    </row>
    <row r="7" spans="1:10" ht="15.6">
      <c r="A7" s="1"/>
      <c r="B7" s="1"/>
      <c r="E7" s="1"/>
      <c r="F7" s="1" t="s">
        <v>516</v>
      </c>
      <c r="G7" s="2"/>
      <c r="H7" s="2"/>
      <c r="I7" s="2"/>
    </row>
    <row r="8" spans="1:10" ht="15.6">
      <c r="A8" s="1"/>
      <c r="B8" s="1"/>
      <c r="E8" s="1"/>
      <c r="F8" s="1"/>
      <c r="G8" s="1"/>
      <c r="H8" s="2"/>
      <c r="I8" s="2"/>
    </row>
    <row r="9" spans="1:10" ht="34.5" customHeight="1">
      <c r="A9" s="4"/>
      <c r="B9" s="4"/>
      <c r="C9" s="5"/>
      <c r="D9" s="2"/>
      <c r="E9" s="2"/>
      <c r="F9" s="2"/>
      <c r="G9" s="2"/>
    </row>
    <row r="10" spans="1:10" ht="52.5" customHeight="1">
      <c r="A10" s="171" t="s">
        <v>31</v>
      </c>
      <c r="B10" s="171"/>
      <c r="C10" s="171"/>
      <c r="D10" s="171"/>
      <c r="E10" s="171"/>
      <c r="F10" s="171"/>
      <c r="G10" s="171"/>
      <c r="H10" s="171"/>
      <c r="I10" s="171"/>
    </row>
    <row r="11" spans="1:10" ht="15" customHeight="1">
      <c r="A11" s="30"/>
      <c r="B11" s="30"/>
      <c r="C11" s="30"/>
      <c r="D11" s="30"/>
      <c r="E11" s="30"/>
      <c r="F11" s="30"/>
      <c r="G11" s="30"/>
      <c r="H11" s="30"/>
      <c r="I11" s="30"/>
    </row>
    <row r="12" spans="1:10" ht="35.25" customHeight="1">
      <c r="A12" s="172" t="s">
        <v>6</v>
      </c>
      <c r="B12" s="173" t="s">
        <v>7</v>
      </c>
      <c r="C12" s="172" t="s">
        <v>8</v>
      </c>
      <c r="D12" s="172"/>
      <c r="E12" s="172"/>
      <c r="F12" s="172"/>
      <c r="G12" s="172"/>
      <c r="H12" s="172"/>
      <c r="I12" s="172"/>
    </row>
    <row r="13" spans="1:10" ht="44.25" customHeight="1">
      <c r="A13" s="172"/>
      <c r="B13" s="173"/>
      <c r="C13" s="9" t="s">
        <v>9</v>
      </c>
      <c r="D13" s="9" t="s">
        <v>10</v>
      </c>
      <c r="E13" s="9" t="s">
        <v>11</v>
      </c>
      <c r="F13" s="9" t="s">
        <v>12</v>
      </c>
      <c r="G13" s="9" t="s">
        <v>13</v>
      </c>
      <c r="H13" s="9" t="s">
        <v>14</v>
      </c>
      <c r="I13" s="9" t="s">
        <v>15</v>
      </c>
    </row>
    <row r="14" spans="1:10" s="40" customFormat="1" ht="46.8" hidden="1">
      <c r="A14" s="31">
        <v>1</v>
      </c>
      <c r="B14" s="27" t="s">
        <v>32</v>
      </c>
      <c r="C14" s="146">
        <f>159-1</f>
        <v>158</v>
      </c>
      <c r="D14" s="146">
        <f>159-1</f>
        <v>158</v>
      </c>
      <c r="E14" s="24">
        <v>160</v>
      </c>
      <c r="F14" s="24">
        <f>165+1+1</f>
        <v>167</v>
      </c>
      <c r="G14" s="19">
        <f>ROUND(SUM(C14:F14)/4,0)</f>
        <v>161</v>
      </c>
      <c r="H14" s="21">
        <v>164</v>
      </c>
      <c r="I14" s="147">
        <v>162</v>
      </c>
      <c r="J14" s="41"/>
    </row>
    <row r="15" spans="1:10" s="16" customFormat="1" ht="62.4" hidden="1">
      <c r="A15" s="32">
        <v>2</v>
      </c>
      <c r="B15" s="33" t="s">
        <v>16</v>
      </c>
      <c r="C15" s="12">
        <f>60+1</f>
        <v>61</v>
      </c>
      <c r="D15" s="12">
        <f>60+2</f>
        <v>62</v>
      </c>
      <c r="E15" s="13">
        <v>58</v>
      </c>
      <c r="F15" s="13">
        <f>55-1-2</f>
        <v>52</v>
      </c>
      <c r="G15" s="15">
        <f>ROUND(SUM(C15:F15)/4,0)</f>
        <v>58</v>
      </c>
      <c r="H15" s="15">
        <v>55</v>
      </c>
      <c r="I15" s="15">
        <v>54</v>
      </c>
      <c r="J15" s="34"/>
    </row>
    <row r="16" spans="1:10" s="40" customFormat="1" ht="62.4" hidden="1">
      <c r="A16" s="31">
        <v>3</v>
      </c>
      <c r="B16" s="27" t="s">
        <v>33</v>
      </c>
      <c r="C16" s="146">
        <v>380</v>
      </c>
      <c r="D16" s="146">
        <v>380</v>
      </c>
      <c r="E16" s="24">
        <v>385</v>
      </c>
      <c r="F16" s="24">
        <v>385</v>
      </c>
      <c r="G16" s="19">
        <v>382.4</v>
      </c>
      <c r="H16" s="21">
        <v>400</v>
      </c>
      <c r="I16" s="147">
        <v>416</v>
      </c>
      <c r="J16" s="41"/>
    </row>
    <row r="17" spans="1:10" s="40" customFormat="1" ht="69.45" hidden="1" customHeight="1">
      <c r="A17" s="31">
        <v>4</v>
      </c>
      <c r="B17" s="27" t="s">
        <v>34</v>
      </c>
      <c r="C17" s="146">
        <f>235-2</f>
        <v>233</v>
      </c>
      <c r="D17" s="24">
        <f>235-3</f>
        <v>232</v>
      </c>
      <c r="E17" s="148">
        <v>227</v>
      </c>
      <c r="F17" s="24">
        <f>210+2+3</f>
        <v>215</v>
      </c>
      <c r="G17" s="19">
        <f>ROUND(SUM(C17:F17)/4,0)</f>
        <v>227</v>
      </c>
      <c r="H17" s="21">
        <v>194</v>
      </c>
      <c r="I17" s="147">
        <v>161</v>
      </c>
      <c r="J17" s="41"/>
    </row>
    <row r="18" spans="1:10" s="40" customFormat="1" ht="62.4" hidden="1">
      <c r="A18" s="31">
        <v>5</v>
      </c>
      <c r="B18" s="27" t="s">
        <v>35</v>
      </c>
      <c r="C18" s="146">
        <v>106</v>
      </c>
      <c r="D18" s="146">
        <v>106</v>
      </c>
      <c r="E18" s="24">
        <v>104</v>
      </c>
      <c r="F18" s="24">
        <v>101</v>
      </c>
      <c r="G18" s="19">
        <f>ROUND(SUM(C18:F18)/4,0)</f>
        <v>104</v>
      </c>
      <c r="H18" s="21">
        <v>99</v>
      </c>
      <c r="I18" s="147">
        <v>93</v>
      </c>
      <c r="J18" s="41"/>
    </row>
    <row r="19" spans="1:10" s="16" customFormat="1" ht="62.4" hidden="1">
      <c r="A19" s="32">
        <v>6</v>
      </c>
      <c r="B19" s="33" t="s">
        <v>17</v>
      </c>
      <c r="C19" s="12">
        <v>25</v>
      </c>
      <c r="D19" s="12">
        <v>25</v>
      </c>
      <c r="E19" s="12">
        <v>22</v>
      </c>
      <c r="F19" s="12">
        <v>22</v>
      </c>
      <c r="G19" s="15">
        <v>23.4</v>
      </c>
      <c r="H19" s="15">
        <v>21</v>
      </c>
      <c r="I19" s="15">
        <v>19</v>
      </c>
      <c r="J19" s="34"/>
    </row>
    <row r="20" spans="1:10" s="40" customFormat="1" ht="78" hidden="1">
      <c r="A20" s="31">
        <v>7</v>
      </c>
      <c r="B20" s="27" t="s">
        <v>36</v>
      </c>
      <c r="C20" s="146">
        <v>514</v>
      </c>
      <c r="D20" s="146">
        <v>514</v>
      </c>
      <c r="E20" s="24">
        <v>480</v>
      </c>
      <c r="F20" s="24">
        <v>480</v>
      </c>
      <c r="G20" s="19">
        <f>ROUND(SUM(C20:F20)/4,0)</f>
        <v>497</v>
      </c>
      <c r="H20" s="21">
        <v>463</v>
      </c>
      <c r="I20" s="147">
        <v>447</v>
      </c>
      <c r="J20" s="41"/>
    </row>
    <row r="21" spans="1:10" s="40" customFormat="1" ht="62.4" hidden="1">
      <c r="A21" s="31">
        <v>8</v>
      </c>
      <c r="B21" s="27" t="s">
        <v>37</v>
      </c>
      <c r="C21" s="146">
        <f>207+1</f>
        <v>208</v>
      </c>
      <c r="D21" s="146">
        <f>207+1</f>
        <v>208</v>
      </c>
      <c r="E21" s="24">
        <v>209</v>
      </c>
      <c r="F21" s="24">
        <f>213-1-1</f>
        <v>211</v>
      </c>
      <c r="G21" s="19">
        <f>ROUND(SUM(C21:F21)/4,0)</f>
        <v>209</v>
      </c>
      <c r="H21" s="21">
        <v>215</v>
      </c>
      <c r="I21" s="147">
        <v>215</v>
      </c>
      <c r="J21" s="41"/>
    </row>
    <row r="22" spans="1:10" s="40" customFormat="1" ht="68.25" hidden="1" customHeight="1">
      <c r="A22" s="31">
        <v>9</v>
      </c>
      <c r="B22" s="27" t="s">
        <v>38</v>
      </c>
      <c r="C22" s="146">
        <f>338-2</f>
        <v>336</v>
      </c>
      <c r="D22" s="24">
        <f>338-3</f>
        <v>335</v>
      </c>
      <c r="E22" s="24">
        <v>343</v>
      </c>
      <c r="F22" s="24">
        <f>354+2+3</f>
        <v>359</v>
      </c>
      <c r="G22" s="19">
        <f>ROUND(SUM(C22:F22)/4,0)</f>
        <v>343</v>
      </c>
      <c r="H22" s="21">
        <v>335</v>
      </c>
      <c r="I22" s="147">
        <v>330</v>
      </c>
      <c r="J22" s="41"/>
    </row>
    <row r="23" spans="1:10" s="16" customFormat="1" ht="62.4" hidden="1">
      <c r="A23" s="32">
        <v>10</v>
      </c>
      <c r="B23" s="33" t="s">
        <v>39</v>
      </c>
      <c r="C23" s="12">
        <f>30-1</f>
        <v>29</v>
      </c>
      <c r="D23" s="12">
        <f>30-1</f>
        <v>29</v>
      </c>
      <c r="E23" s="13">
        <v>29</v>
      </c>
      <c r="F23" s="13">
        <f>29+1+1</f>
        <v>31</v>
      </c>
      <c r="G23" s="15">
        <v>29.4</v>
      </c>
      <c r="H23" s="15">
        <v>24</v>
      </c>
      <c r="I23" s="15">
        <v>23</v>
      </c>
      <c r="J23" s="34"/>
    </row>
    <row r="24" spans="1:10" s="16" customFormat="1" ht="62.4" hidden="1">
      <c r="A24" s="32">
        <v>11</v>
      </c>
      <c r="B24" s="33" t="s">
        <v>40</v>
      </c>
      <c r="C24" s="12">
        <v>27</v>
      </c>
      <c r="D24" s="12">
        <v>27</v>
      </c>
      <c r="E24" s="13">
        <v>27</v>
      </c>
      <c r="F24" s="13">
        <v>26</v>
      </c>
      <c r="G24" s="15">
        <f>ROUND(SUM(C24:F24)/4,0)</f>
        <v>27</v>
      </c>
      <c r="H24" s="15">
        <v>26</v>
      </c>
      <c r="I24" s="15">
        <v>22</v>
      </c>
      <c r="J24" s="34"/>
    </row>
    <row r="25" spans="1:10" s="40" customFormat="1" ht="79.5" hidden="1" customHeight="1">
      <c r="A25" s="31">
        <v>12</v>
      </c>
      <c r="B25" s="27" t="s">
        <v>41</v>
      </c>
      <c r="C25" s="146">
        <v>199</v>
      </c>
      <c r="D25" s="24">
        <f>199+2</f>
        <v>201</v>
      </c>
      <c r="E25" s="24">
        <v>204</v>
      </c>
      <c r="F25" s="24">
        <f>216-2</f>
        <v>214</v>
      </c>
      <c r="G25" s="19">
        <v>204.4</v>
      </c>
      <c r="H25" s="21">
        <v>205</v>
      </c>
      <c r="I25" s="21">
        <v>205</v>
      </c>
      <c r="J25" s="41"/>
    </row>
    <row r="26" spans="1:10" s="40" customFormat="1" ht="62.4" hidden="1">
      <c r="A26" s="31">
        <v>13</v>
      </c>
      <c r="B26" s="27" t="s">
        <v>42</v>
      </c>
      <c r="C26" s="146">
        <f>236-2</f>
        <v>234</v>
      </c>
      <c r="D26" s="146">
        <f>236-1</f>
        <v>235</v>
      </c>
      <c r="E26" s="24">
        <v>236</v>
      </c>
      <c r="F26" s="24">
        <f>237+2+1</f>
        <v>240</v>
      </c>
      <c r="G26" s="19">
        <f t="shared" ref="G26:G41" si="0">ROUND(SUM(C26:F26)/4,0)</f>
        <v>236</v>
      </c>
      <c r="H26" s="21">
        <v>231</v>
      </c>
      <c r="I26" s="147">
        <v>214</v>
      </c>
      <c r="J26" s="41"/>
    </row>
    <row r="27" spans="1:10" s="40" customFormat="1" ht="62.4" hidden="1">
      <c r="A27" s="31">
        <v>14</v>
      </c>
      <c r="B27" s="27" t="s">
        <v>43</v>
      </c>
      <c r="C27" s="146">
        <v>381</v>
      </c>
      <c r="D27" s="146">
        <f>381-2</f>
        <v>379</v>
      </c>
      <c r="E27" s="24">
        <v>375</v>
      </c>
      <c r="F27" s="24">
        <f>364+2</f>
        <v>366</v>
      </c>
      <c r="G27" s="19">
        <f t="shared" si="0"/>
        <v>375</v>
      </c>
      <c r="H27" s="21">
        <v>388</v>
      </c>
      <c r="I27" s="147">
        <v>371</v>
      </c>
      <c r="J27" s="41"/>
    </row>
    <row r="28" spans="1:10" s="40" customFormat="1" ht="46.8" hidden="1">
      <c r="A28" s="31">
        <v>15</v>
      </c>
      <c r="B28" s="27" t="s">
        <v>44</v>
      </c>
      <c r="C28" s="146">
        <f>284+2</f>
        <v>286</v>
      </c>
      <c r="D28" s="146">
        <f>284+1</f>
        <v>285</v>
      </c>
      <c r="E28" s="146">
        <v>277</v>
      </c>
      <c r="F28" s="24">
        <f>263-2-1</f>
        <v>260</v>
      </c>
      <c r="G28" s="19">
        <f t="shared" si="0"/>
        <v>277</v>
      </c>
      <c r="H28" s="21">
        <v>258</v>
      </c>
      <c r="I28" s="147">
        <v>258</v>
      </c>
      <c r="J28" s="41"/>
    </row>
    <row r="29" spans="1:10" s="16" customFormat="1" ht="62.4" hidden="1">
      <c r="A29" s="32">
        <v>16</v>
      </c>
      <c r="B29" s="33" t="s">
        <v>45</v>
      </c>
      <c r="C29" s="12">
        <f>115-1</f>
        <v>114</v>
      </c>
      <c r="D29" s="12">
        <f>115-2</f>
        <v>113</v>
      </c>
      <c r="E29" s="13">
        <v>115</v>
      </c>
      <c r="F29" s="13">
        <f>119+1+2</f>
        <v>122</v>
      </c>
      <c r="G29" s="15">
        <f t="shared" si="0"/>
        <v>116</v>
      </c>
      <c r="H29" s="15">
        <v>116</v>
      </c>
      <c r="I29" s="15">
        <v>127</v>
      </c>
      <c r="J29" s="34"/>
    </row>
    <row r="30" spans="1:10" s="16" customFormat="1" ht="46.8" hidden="1">
      <c r="A30" s="32">
        <v>17</v>
      </c>
      <c r="B30" s="33" t="s">
        <v>19</v>
      </c>
      <c r="C30" s="35">
        <f>68+1</f>
        <v>69</v>
      </c>
      <c r="D30" s="35">
        <f>68-1</f>
        <v>67</v>
      </c>
      <c r="E30" s="35">
        <v>68</v>
      </c>
      <c r="F30" s="35">
        <f>68-1+1</f>
        <v>68</v>
      </c>
      <c r="G30" s="15">
        <f t="shared" si="0"/>
        <v>68</v>
      </c>
      <c r="H30" s="15">
        <v>68</v>
      </c>
      <c r="I30" s="15">
        <v>68</v>
      </c>
      <c r="J30" s="34"/>
    </row>
    <row r="31" spans="1:10" s="40" customFormat="1" ht="46.8" hidden="1">
      <c r="A31" s="31">
        <v>18</v>
      </c>
      <c r="B31" s="27" t="s">
        <v>46</v>
      </c>
      <c r="C31" s="153">
        <v>165</v>
      </c>
      <c r="D31" s="148">
        <f>165+2</f>
        <v>167</v>
      </c>
      <c r="E31" s="148">
        <v>165</v>
      </c>
      <c r="F31" s="148">
        <f>169-2</f>
        <v>167</v>
      </c>
      <c r="G31" s="19">
        <f t="shared" si="0"/>
        <v>166</v>
      </c>
      <c r="H31" s="153">
        <v>165</v>
      </c>
      <c r="I31" s="153">
        <v>165</v>
      </c>
      <c r="J31" s="41"/>
    </row>
    <row r="32" spans="1:10" s="16" customFormat="1" ht="46.8" hidden="1">
      <c r="A32" s="32">
        <v>19</v>
      </c>
      <c r="B32" s="33" t="s">
        <v>47</v>
      </c>
      <c r="C32" s="36">
        <f>292-1</f>
        <v>291</v>
      </c>
      <c r="D32" s="35">
        <f>292-1</f>
        <v>291</v>
      </c>
      <c r="E32" s="13">
        <v>290</v>
      </c>
      <c r="F32" s="35">
        <f>287+1+1</f>
        <v>289</v>
      </c>
      <c r="G32" s="15">
        <f t="shared" si="0"/>
        <v>290</v>
      </c>
      <c r="H32" s="37">
        <v>287</v>
      </c>
      <c r="I32" s="37">
        <v>287</v>
      </c>
      <c r="J32" s="34"/>
    </row>
    <row r="33" spans="1:10" s="40" customFormat="1" ht="46.8" hidden="1">
      <c r="A33" s="31">
        <v>20</v>
      </c>
      <c r="B33" s="27" t="s">
        <v>48</v>
      </c>
      <c r="C33" s="146">
        <f>250-1</f>
        <v>249</v>
      </c>
      <c r="D33" s="146">
        <f>250-2</f>
        <v>248</v>
      </c>
      <c r="E33" s="24">
        <v>250</v>
      </c>
      <c r="F33" s="24">
        <f>250+1+2</f>
        <v>253</v>
      </c>
      <c r="G33" s="19">
        <f t="shared" si="0"/>
        <v>250</v>
      </c>
      <c r="H33" s="21">
        <v>250</v>
      </c>
      <c r="I33" s="147">
        <v>250</v>
      </c>
      <c r="J33" s="41"/>
    </row>
    <row r="34" spans="1:10" s="40" customFormat="1" ht="46.8" hidden="1">
      <c r="A34" s="31">
        <v>21</v>
      </c>
      <c r="B34" s="27" t="s">
        <v>49</v>
      </c>
      <c r="C34" s="146">
        <v>201</v>
      </c>
      <c r="D34" s="146">
        <v>201</v>
      </c>
      <c r="E34" s="24">
        <v>201</v>
      </c>
      <c r="F34" s="24">
        <v>201</v>
      </c>
      <c r="G34" s="19">
        <f t="shared" si="0"/>
        <v>201</v>
      </c>
      <c r="H34" s="21">
        <v>202</v>
      </c>
      <c r="I34" s="147">
        <v>202</v>
      </c>
      <c r="J34" s="41"/>
    </row>
    <row r="35" spans="1:10" s="40" customFormat="1" ht="62.4" hidden="1">
      <c r="A35" s="31">
        <v>22</v>
      </c>
      <c r="B35" s="27" t="s">
        <v>50</v>
      </c>
      <c r="C35" s="146">
        <v>225</v>
      </c>
      <c r="D35" s="146">
        <v>225</v>
      </c>
      <c r="E35" s="24">
        <v>223</v>
      </c>
      <c r="F35" s="24">
        <v>220</v>
      </c>
      <c r="G35" s="19">
        <f t="shared" si="0"/>
        <v>223</v>
      </c>
      <c r="H35" s="21">
        <v>220</v>
      </c>
      <c r="I35" s="147">
        <v>220</v>
      </c>
      <c r="J35" s="41"/>
    </row>
    <row r="36" spans="1:10" s="40" customFormat="1" ht="62.4" hidden="1">
      <c r="A36" s="31">
        <v>23</v>
      </c>
      <c r="B36" s="27" t="s">
        <v>20</v>
      </c>
      <c r="C36" s="149">
        <f>95-1</f>
        <v>94</v>
      </c>
      <c r="D36" s="149">
        <f>95-1</f>
        <v>94</v>
      </c>
      <c r="E36" s="148">
        <v>96</v>
      </c>
      <c r="F36" s="148">
        <f>97+1+1</f>
        <v>99</v>
      </c>
      <c r="G36" s="19">
        <f t="shared" si="0"/>
        <v>96</v>
      </c>
      <c r="H36" s="19">
        <v>101</v>
      </c>
      <c r="I36" s="19">
        <v>110</v>
      </c>
      <c r="J36" s="41"/>
    </row>
    <row r="37" spans="1:10" s="40" customFormat="1" ht="46.8" hidden="1">
      <c r="A37" s="31">
        <v>24</v>
      </c>
      <c r="B37" s="27" t="s">
        <v>51</v>
      </c>
      <c r="C37" s="146">
        <f>190-1</f>
        <v>189</v>
      </c>
      <c r="D37" s="146">
        <f>190+1</f>
        <v>191</v>
      </c>
      <c r="E37" s="24">
        <v>180</v>
      </c>
      <c r="F37" s="24">
        <f>180+1-1</f>
        <v>180</v>
      </c>
      <c r="G37" s="19">
        <f t="shared" si="0"/>
        <v>185</v>
      </c>
      <c r="H37" s="21">
        <v>180</v>
      </c>
      <c r="I37" s="147">
        <v>180</v>
      </c>
      <c r="J37" s="41"/>
    </row>
    <row r="38" spans="1:10" s="40" customFormat="1" ht="62.4" hidden="1">
      <c r="A38" s="31">
        <v>25</v>
      </c>
      <c r="B38" s="27" t="s">
        <v>52</v>
      </c>
      <c r="C38" s="146">
        <f>545-1</f>
        <v>544</v>
      </c>
      <c r="D38" s="146">
        <f>545-2</f>
        <v>543</v>
      </c>
      <c r="E38" s="24">
        <v>558</v>
      </c>
      <c r="F38" s="24">
        <f>583+1+2</f>
        <v>586</v>
      </c>
      <c r="G38" s="19">
        <f t="shared" si="0"/>
        <v>558</v>
      </c>
      <c r="H38" s="21">
        <v>558</v>
      </c>
      <c r="I38" s="147">
        <v>558</v>
      </c>
      <c r="J38" s="41"/>
    </row>
    <row r="39" spans="1:10" s="40" customFormat="1" ht="62.4" hidden="1">
      <c r="A39" s="31">
        <v>26</v>
      </c>
      <c r="B39" s="27" t="s">
        <v>53</v>
      </c>
      <c r="C39" s="146">
        <v>321</v>
      </c>
      <c r="D39" s="146">
        <v>321</v>
      </c>
      <c r="E39" s="146">
        <v>321</v>
      </c>
      <c r="F39" s="146">
        <v>321</v>
      </c>
      <c r="G39" s="19">
        <f t="shared" si="0"/>
        <v>321</v>
      </c>
      <c r="H39" s="21">
        <v>321</v>
      </c>
      <c r="I39" s="147">
        <v>321</v>
      </c>
      <c r="J39" s="41"/>
    </row>
    <row r="40" spans="1:10" s="40" customFormat="1" ht="46.8" hidden="1">
      <c r="A40" s="31">
        <v>27</v>
      </c>
      <c r="B40" s="27" t="s">
        <v>54</v>
      </c>
      <c r="C40" s="146">
        <v>168</v>
      </c>
      <c r="D40" s="24">
        <f>168+2</f>
        <v>170</v>
      </c>
      <c r="E40" s="24">
        <v>168</v>
      </c>
      <c r="F40" s="24">
        <f>168-2</f>
        <v>166</v>
      </c>
      <c r="G40" s="19">
        <f t="shared" si="0"/>
        <v>168</v>
      </c>
      <c r="H40" s="19">
        <v>165</v>
      </c>
      <c r="I40" s="19">
        <v>165</v>
      </c>
      <c r="J40" s="41"/>
    </row>
    <row r="41" spans="1:10" s="16" customFormat="1" ht="46.8" hidden="1">
      <c r="A41" s="32">
        <v>28</v>
      </c>
      <c r="B41" s="33" t="s">
        <v>55</v>
      </c>
      <c r="C41" s="12">
        <v>464</v>
      </c>
      <c r="D41" s="12">
        <v>464</v>
      </c>
      <c r="E41" s="13">
        <v>464</v>
      </c>
      <c r="F41" s="13">
        <v>464</v>
      </c>
      <c r="G41" s="15">
        <f t="shared" si="0"/>
        <v>464</v>
      </c>
      <c r="H41" s="15">
        <v>464</v>
      </c>
      <c r="I41" s="15">
        <v>464</v>
      </c>
      <c r="J41" s="34"/>
    </row>
    <row r="42" spans="1:10" s="40" customFormat="1" ht="46.8" hidden="1">
      <c r="A42" s="31">
        <v>29</v>
      </c>
      <c r="B42" s="27" t="s">
        <v>56</v>
      </c>
      <c r="C42" s="146">
        <v>208</v>
      </c>
      <c r="D42" s="146">
        <v>208</v>
      </c>
      <c r="E42" s="24">
        <v>205</v>
      </c>
      <c r="F42" s="24">
        <v>205</v>
      </c>
      <c r="G42" s="19">
        <v>206.4</v>
      </c>
      <c r="H42" s="21">
        <v>205</v>
      </c>
      <c r="I42" s="147">
        <v>205</v>
      </c>
      <c r="J42" s="41"/>
    </row>
    <row r="43" spans="1:10" s="40" customFormat="1" ht="62.4" hidden="1">
      <c r="A43" s="31">
        <v>30</v>
      </c>
      <c r="B43" s="27" t="s">
        <v>57</v>
      </c>
      <c r="C43" s="146">
        <f>237-3</f>
        <v>234</v>
      </c>
      <c r="D43" s="146">
        <f>237-1</f>
        <v>236</v>
      </c>
      <c r="E43" s="24">
        <v>238</v>
      </c>
      <c r="F43" s="24">
        <f>242+3+1</f>
        <v>246</v>
      </c>
      <c r="G43" s="19">
        <f>ROUND(SUM(C43:F43)/4,0)</f>
        <v>239</v>
      </c>
      <c r="H43" s="21">
        <v>230</v>
      </c>
      <c r="I43" s="21">
        <v>232</v>
      </c>
      <c r="J43" s="41"/>
    </row>
    <row r="44" spans="1:10" s="40" customFormat="1" ht="62.4" hidden="1">
      <c r="A44" s="31">
        <v>31</v>
      </c>
      <c r="B44" s="27" t="s">
        <v>58</v>
      </c>
      <c r="C44" s="151">
        <f>235-2</f>
        <v>233</v>
      </c>
      <c r="D44" s="151">
        <f>235-1</f>
        <v>234</v>
      </c>
      <c r="E44" s="151">
        <v>231</v>
      </c>
      <c r="F44" s="151">
        <f>225+2+1</f>
        <v>228</v>
      </c>
      <c r="G44" s="19">
        <v>231.4</v>
      </c>
      <c r="H44" s="147">
        <v>228</v>
      </c>
      <c r="I44" s="147">
        <v>219</v>
      </c>
      <c r="J44" s="41"/>
    </row>
    <row r="45" spans="1:10" s="40" customFormat="1" ht="46.8" hidden="1">
      <c r="A45" s="31">
        <v>32</v>
      </c>
      <c r="B45" s="27" t="s">
        <v>59</v>
      </c>
      <c r="C45" s="146">
        <f>192+2</f>
        <v>194</v>
      </c>
      <c r="D45" s="24">
        <f>192+2</f>
        <v>194</v>
      </c>
      <c r="E45" s="24">
        <v>190</v>
      </c>
      <c r="F45" s="24">
        <f>185-2-2</f>
        <v>181</v>
      </c>
      <c r="G45" s="19">
        <f t="shared" ref="G45:G69" si="1">ROUND(SUM(C45:F45)/4,0)</f>
        <v>190</v>
      </c>
      <c r="H45" s="21">
        <v>183</v>
      </c>
      <c r="I45" s="147">
        <v>180</v>
      </c>
      <c r="J45" s="41"/>
    </row>
    <row r="46" spans="1:10" s="40" customFormat="1" ht="62.4" hidden="1">
      <c r="A46" s="31">
        <v>33</v>
      </c>
      <c r="B46" s="27" t="s">
        <v>60</v>
      </c>
      <c r="C46" s="146">
        <v>252</v>
      </c>
      <c r="D46" s="146">
        <v>252</v>
      </c>
      <c r="E46" s="146">
        <v>254</v>
      </c>
      <c r="F46" s="146">
        <v>259</v>
      </c>
      <c r="G46" s="19">
        <f t="shared" si="1"/>
        <v>254</v>
      </c>
      <c r="H46" s="146">
        <v>254</v>
      </c>
      <c r="I46" s="146">
        <v>254</v>
      </c>
      <c r="J46" s="41"/>
    </row>
    <row r="47" spans="1:10" s="40" customFormat="1" ht="46.8" hidden="1">
      <c r="A47" s="31">
        <v>34</v>
      </c>
      <c r="B47" s="27" t="s">
        <v>61</v>
      </c>
      <c r="C47" s="146">
        <v>264</v>
      </c>
      <c r="D47" s="146">
        <v>264</v>
      </c>
      <c r="E47" s="24">
        <v>265</v>
      </c>
      <c r="F47" s="24">
        <v>266</v>
      </c>
      <c r="G47" s="19">
        <f t="shared" si="1"/>
        <v>265</v>
      </c>
      <c r="H47" s="21">
        <v>265</v>
      </c>
      <c r="I47" s="147">
        <v>265</v>
      </c>
      <c r="J47" s="41"/>
    </row>
    <row r="48" spans="1:10" s="40" customFormat="1" ht="62.4" hidden="1">
      <c r="A48" s="31">
        <v>35</v>
      </c>
      <c r="B48" s="27" t="s">
        <v>62</v>
      </c>
      <c r="C48" s="146">
        <v>469</v>
      </c>
      <c r="D48" s="146">
        <f>469+2</f>
        <v>471</v>
      </c>
      <c r="E48" s="146">
        <v>468</v>
      </c>
      <c r="F48" s="24">
        <f>467-2</f>
        <v>465</v>
      </c>
      <c r="G48" s="19">
        <f t="shared" si="1"/>
        <v>468</v>
      </c>
      <c r="H48" s="21">
        <v>468</v>
      </c>
      <c r="I48" s="147">
        <v>468</v>
      </c>
      <c r="J48" s="41"/>
    </row>
    <row r="49" spans="1:10" s="40" customFormat="1" ht="46.8" hidden="1">
      <c r="A49" s="31">
        <v>36</v>
      </c>
      <c r="B49" s="27" t="s">
        <v>63</v>
      </c>
      <c r="C49" s="146">
        <f>212+1</f>
        <v>213</v>
      </c>
      <c r="D49" s="146">
        <f>212+1</f>
        <v>213</v>
      </c>
      <c r="E49" s="146">
        <v>205</v>
      </c>
      <c r="F49" s="146">
        <f>191-1</f>
        <v>190</v>
      </c>
      <c r="G49" s="19">
        <f t="shared" si="1"/>
        <v>205</v>
      </c>
      <c r="H49" s="21">
        <v>169</v>
      </c>
      <c r="I49" s="147">
        <v>148</v>
      </c>
      <c r="J49" s="41"/>
    </row>
    <row r="50" spans="1:10" s="16" customFormat="1" ht="46.8" hidden="1">
      <c r="A50" s="32">
        <v>37</v>
      </c>
      <c r="B50" s="33" t="s">
        <v>21</v>
      </c>
      <c r="C50" s="12">
        <v>47</v>
      </c>
      <c r="D50" s="12">
        <f>47-1</f>
        <v>46</v>
      </c>
      <c r="E50" s="13">
        <v>48</v>
      </c>
      <c r="F50" s="13">
        <f>51+1</f>
        <v>52</v>
      </c>
      <c r="G50" s="15">
        <f t="shared" si="1"/>
        <v>48</v>
      </c>
      <c r="H50" s="15">
        <v>51</v>
      </c>
      <c r="I50" s="15">
        <v>51</v>
      </c>
      <c r="J50" s="34"/>
    </row>
    <row r="51" spans="1:10" s="40" customFormat="1" ht="87.75" hidden="1" customHeight="1">
      <c r="A51" s="31">
        <v>38</v>
      </c>
      <c r="B51" s="27" t="s">
        <v>64</v>
      </c>
      <c r="C51" s="146">
        <v>175</v>
      </c>
      <c r="D51" s="146">
        <v>175</v>
      </c>
      <c r="E51" s="24">
        <v>175</v>
      </c>
      <c r="F51" s="24">
        <v>175</v>
      </c>
      <c r="G51" s="19">
        <f t="shared" si="1"/>
        <v>175</v>
      </c>
      <c r="H51" s="21">
        <v>175</v>
      </c>
      <c r="I51" s="147">
        <v>176</v>
      </c>
      <c r="J51" s="41"/>
    </row>
    <row r="52" spans="1:10" s="40" customFormat="1" ht="62.4" hidden="1">
      <c r="A52" s="31">
        <v>39</v>
      </c>
      <c r="B52" s="27" t="s">
        <v>65</v>
      </c>
      <c r="C52" s="146">
        <v>241</v>
      </c>
      <c r="D52" s="146">
        <f>241-1</f>
        <v>240</v>
      </c>
      <c r="E52" s="24">
        <v>237</v>
      </c>
      <c r="F52" s="24">
        <f>228+1</f>
        <v>229</v>
      </c>
      <c r="G52" s="19">
        <f t="shared" si="1"/>
        <v>237</v>
      </c>
      <c r="H52" s="21">
        <v>228</v>
      </c>
      <c r="I52" s="21">
        <v>228</v>
      </c>
      <c r="J52" s="41"/>
    </row>
    <row r="53" spans="1:10" s="40" customFormat="1" ht="46.8" hidden="1">
      <c r="A53" s="31">
        <v>40</v>
      </c>
      <c r="B53" s="27" t="s">
        <v>66</v>
      </c>
      <c r="C53" s="146">
        <v>225</v>
      </c>
      <c r="D53" s="146">
        <f>225+1</f>
        <v>226</v>
      </c>
      <c r="E53" s="146">
        <v>226</v>
      </c>
      <c r="F53" s="24">
        <f>227-1</f>
        <v>226</v>
      </c>
      <c r="G53" s="19">
        <f t="shared" si="1"/>
        <v>226</v>
      </c>
      <c r="H53" s="21">
        <v>226</v>
      </c>
      <c r="I53" s="147">
        <v>225</v>
      </c>
      <c r="J53" s="41"/>
    </row>
    <row r="54" spans="1:10" s="40" customFormat="1" ht="62.4" hidden="1">
      <c r="A54" s="31">
        <v>41</v>
      </c>
      <c r="B54" s="27" t="s">
        <v>67</v>
      </c>
      <c r="C54" s="146">
        <f>209+1</f>
        <v>210</v>
      </c>
      <c r="D54" s="146">
        <f>209+3</f>
        <v>212</v>
      </c>
      <c r="E54" s="24">
        <v>213</v>
      </c>
      <c r="F54" s="24">
        <f>222-1-3</f>
        <v>218</v>
      </c>
      <c r="G54" s="19">
        <f t="shared" si="1"/>
        <v>213</v>
      </c>
      <c r="H54" s="21">
        <v>215</v>
      </c>
      <c r="I54" s="147">
        <v>225</v>
      </c>
      <c r="J54" s="41"/>
    </row>
    <row r="55" spans="1:10" s="40" customFormat="1" ht="78" hidden="1">
      <c r="A55" s="31">
        <v>42</v>
      </c>
      <c r="B55" s="27" t="s">
        <v>68</v>
      </c>
      <c r="C55" s="146">
        <v>268</v>
      </c>
      <c r="D55" s="146">
        <v>268</v>
      </c>
      <c r="E55" s="24">
        <v>272</v>
      </c>
      <c r="F55" s="24">
        <v>280</v>
      </c>
      <c r="G55" s="19">
        <f t="shared" si="1"/>
        <v>272</v>
      </c>
      <c r="H55" s="21">
        <v>270</v>
      </c>
      <c r="I55" s="147">
        <v>270</v>
      </c>
      <c r="J55" s="41"/>
    </row>
    <row r="56" spans="1:10" s="40" customFormat="1" ht="78" hidden="1">
      <c r="A56" s="31">
        <v>43</v>
      </c>
      <c r="B56" s="27" t="s">
        <v>22</v>
      </c>
      <c r="C56" s="149">
        <f>304+1</f>
        <v>305</v>
      </c>
      <c r="D56" s="149">
        <f>304+1</f>
        <v>305</v>
      </c>
      <c r="E56" s="148">
        <v>304</v>
      </c>
      <c r="F56" s="148">
        <f>304-1-1</f>
        <v>302</v>
      </c>
      <c r="G56" s="19">
        <f t="shared" si="1"/>
        <v>304</v>
      </c>
      <c r="H56" s="19">
        <v>304</v>
      </c>
      <c r="I56" s="19">
        <v>304</v>
      </c>
      <c r="J56" s="41"/>
    </row>
    <row r="57" spans="1:10" s="40" customFormat="1" ht="78" hidden="1">
      <c r="A57" s="31">
        <v>44</v>
      </c>
      <c r="B57" s="27" t="s">
        <v>69</v>
      </c>
      <c r="C57" s="146">
        <f>366-1</f>
        <v>365</v>
      </c>
      <c r="D57" s="24">
        <f>366-1</f>
        <v>365</v>
      </c>
      <c r="E57" s="24">
        <v>364</v>
      </c>
      <c r="F57" s="24">
        <f>360+1+1</f>
        <v>362</v>
      </c>
      <c r="G57" s="19">
        <f t="shared" si="1"/>
        <v>364</v>
      </c>
      <c r="H57" s="21">
        <v>346</v>
      </c>
      <c r="I57" s="147">
        <v>360</v>
      </c>
      <c r="J57" s="41"/>
    </row>
    <row r="58" spans="1:10" s="40" customFormat="1" ht="79.5" hidden="1" customHeight="1">
      <c r="A58" s="31">
        <v>45</v>
      </c>
      <c r="B58" s="27" t="s">
        <v>70</v>
      </c>
      <c r="C58" s="146">
        <v>255</v>
      </c>
      <c r="D58" s="24">
        <f>255+1</f>
        <v>256</v>
      </c>
      <c r="E58" s="24">
        <v>253</v>
      </c>
      <c r="F58" s="24">
        <f>250-1</f>
        <v>249</v>
      </c>
      <c r="G58" s="19">
        <f t="shared" si="1"/>
        <v>253</v>
      </c>
      <c r="H58" s="21">
        <v>250</v>
      </c>
      <c r="I58" s="147">
        <v>235</v>
      </c>
      <c r="J58" s="41"/>
    </row>
    <row r="59" spans="1:10" s="16" customFormat="1" ht="62.4" hidden="1">
      <c r="A59" s="32">
        <v>46</v>
      </c>
      <c r="B59" s="33" t="s">
        <v>71</v>
      </c>
      <c r="C59" s="36">
        <v>493</v>
      </c>
      <c r="D59" s="35">
        <f>493-1</f>
        <v>492</v>
      </c>
      <c r="E59" s="35">
        <v>488</v>
      </c>
      <c r="F59" s="35">
        <f>480+1</f>
        <v>481</v>
      </c>
      <c r="G59" s="15">
        <f t="shared" si="1"/>
        <v>489</v>
      </c>
      <c r="H59" s="37">
        <v>474</v>
      </c>
      <c r="I59" s="38">
        <v>455</v>
      </c>
      <c r="J59" s="34"/>
    </row>
    <row r="60" spans="1:10" s="16" customFormat="1" ht="62.4" hidden="1">
      <c r="A60" s="32">
        <v>47</v>
      </c>
      <c r="B60" s="33" t="s">
        <v>72</v>
      </c>
      <c r="C60" s="36">
        <v>329</v>
      </c>
      <c r="D60" s="36">
        <v>329</v>
      </c>
      <c r="E60" s="36">
        <v>330</v>
      </c>
      <c r="F60" s="36">
        <v>332</v>
      </c>
      <c r="G60" s="15">
        <f t="shared" si="1"/>
        <v>330</v>
      </c>
      <c r="H60" s="37">
        <v>331</v>
      </c>
      <c r="I60" s="38">
        <v>331</v>
      </c>
      <c r="J60" s="34"/>
    </row>
    <row r="61" spans="1:10" s="40" customFormat="1" ht="78" hidden="1">
      <c r="A61" s="31">
        <v>48</v>
      </c>
      <c r="B61" s="27" t="s">
        <v>73</v>
      </c>
      <c r="C61" s="146">
        <f>276-3</f>
        <v>273</v>
      </c>
      <c r="D61" s="146">
        <f>276-3</f>
        <v>273</v>
      </c>
      <c r="E61" s="24">
        <v>271</v>
      </c>
      <c r="F61" s="24">
        <f>261+3+3</f>
        <v>267</v>
      </c>
      <c r="G61" s="19">
        <f t="shared" si="1"/>
        <v>271</v>
      </c>
      <c r="H61" s="21">
        <v>271</v>
      </c>
      <c r="I61" s="147">
        <v>271</v>
      </c>
      <c r="J61" s="41"/>
    </row>
    <row r="62" spans="1:10" s="16" customFormat="1" ht="46.8" hidden="1">
      <c r="A62" s="32">
        <v>49</v>
      </c>
      <c r="B62" s="33" t="s">
        <v>74</v>
      </c>
      <c r="C62" s="36">
        <v>235</v>
      </c>
      <c r="D62" s="36">
        <v>235</v>
      </c>
      <c r="E62" s="36">
        <v>235</v>
      </c>
      <c r="F62" s="36">
        <v>235</v>
      </c>
      <c r="G62" s="15">
        <f t="shared" si="1"/>
        <v>235</v>
      </c>
      <c r="H62" s="36">
        <v>235</v>
      </c>
      <c r="I62" s="36">
        <v>210</v>
      </c>
      <c r="J62" s="34"/>
    </row>
    <row r="63" spans="1:10" s="16" customFormat="1" ht="78" hidden="1">
      <c r="A63" s="32">
        <v>50</v>
      </c>
      <c r="B63" s="33" t="s">
        <v>75</v>
      </c>
      <c r="C63" s="36">
        <f>306+1</f>
        <v>307</v>
      </c>
      <c r="D63" s="36">
        <f>306+1</f>
        <v>307</v>
      </c>
      <c r="E63" s="36">
        <v>307</v>
      </c>
      <c r="F63" s="36">
        <f>309-1-1</f>
        <v>307</v>
      </c>
      <c r="G63" s="15">
        <f t="shared" si="1"/>
        <v>307</v>
      </c>
      <c r="H63" s="39">
        <v>309</v>
      </c>
      <c r="I63" s="39">
        <v>312</v>
      </c>
      <c r="J63" s="34"/>
    </row>
    <row r="64" spans="1:10" s="16" customFormat="1" ht="46.8" hidden="1">
      <c r="A64" s="32">
        <v>51</v>
      </c>
      <c r="B64" s="33" t="s">
        <v>76</v>
      </c>
      <c r="C64" s="36">
        <f>227-1</f>
        <v>226</v>
      </c>
      <c r="D64" s="35">
        <f>227-1</f>
        <v>226</v>
      </c>
      <c r="E64" s="35">
        <v>226</v>
      </c>
      <c r="F64" s="35">
        <f>222+1+1</f>
        <v>224</v>
      </c>
      <c r="G64" s="15">
        <f t="shared" si="1"/>
        <v>226</v>
      </c>
      <c r="H64" s="37">
        <v>222</v>
      </c>
      <c r="I64" s="38">
        <v>222</v>
      </c>
      <c r="J64" s="34"/>
    </row>
    <row r="65" spans="1:10" s="40" customFormat="1" ht="62.4" hidden="1">
      <c r="A65" s="31">
        <v>52</v>
      </c>
      <c r="B65" s="27" t="s">
        <v>77</v>
      </c>
      <c r="C65" s="146">
        <v>131</v>
      </c>
      <c r="D65" s="146">
        <v>131</v>
      </c>
      <c r="E65" s="146">
        <v>131</v>
      </c>
      <c r="F65" s="24">
        <v>130</v>
      </c>
      <c r="G65" s="19">
        <f t="shared" si="1"/>
        <v>131</v>
      </c>
      <c r="H65" s="21">
        <v>121</v>
      </c>
      <c r="I65" s="147">
        <v>104</v>
      </c>
      <c r="J65" s="41"/>
    </row>
    <row r="66" spans="1:10" s="40" customFormat="1" ht="46.8" hidden="1">
      <c r="A66" s="31">
        <v>53</v>
      </c>
      <c r="B66" s="27" t="s">
        <v>78</v>
      </c>
      <c r="C66" s="146">
        <v>105</v>
      </c>
      <c r="D66" s="146">
        <v>105</v>
      </c>
      <c r="E66" s="146">
        <v>105</v>
      </c>
      <c r="F66" s="146">
        <v>105</v>
      </c>
      <c r="G66" s="19">
        <f t="shared" si="1"/>
        <v>105</v>
      </c>
      <c r="H66" s="21">
        <v>105</v>
      </c>
      <c r="I66" s="147">
        <v>105</v>
      </c>
      <c r="J66" s="41"/>
    </row>
    <row r="67" spans="1:10" s="40" customFormat="1" ht="62.4" hidden="1">
      <c r="A67" s="31">
        <v>54</v>
      </c>
      <c r="B67" s="27" t="s">
        <v>79</v>
      </c>
      <c r="C67" s="149">
        <v>33</v>
      </c>
      <c r="D67" s="149">
        <v>33</v>
      </c>
      <c r="E67" s="148">
        <v>33</v>
      </c>
      <c r="F67" s="148">
        <v>31</v>
      </c>
      <c r="G67" s="19">
        <f t="shared" si="1"/>
        <v>33</v>
      </c>
      <c r="H67" s="19">
        <v>31</v>
      </c>
      <c r="I67" s="19">
        <v>28</v>
      </c>
      <c r="J67" s="41"/>
    </row>
    <row r="68" spans="1:10" s="16" customFormat="1" ht="62.4" hidden="1">
      <c r="A68" s="32">
        <v>55</v>
      </c>
      <c r="B68" s="17" t="s">
        <v>24</v>
      </c>
      <c r="C68" s="12">
        <v>35</v>
      </c>
      <c r="D68" s="12">
        <v>35</v>
      </c>
      <c r="E68" s="13">
        <v>34</v>
      </c>
      <c r="F68" s="13">
        <v>31</v>
      </c>
      <c r="G68" s="15">
        <f t="shared" si="1"/>
        <v>34</v>
      </c>
      <c r="H68" s="15">
        <v>34</v>
      </c>
      <c r="I68" s="15">
        <v>34</v>
      </c>
      <c r="J68" s="34"/>
    </row>
    <row r="69" spans="1:10" s="40" customFormat="1" ht="62.4" hidden="1">
      <c r="A69" s="31">
        <v>56</v>
      </c>
      <c r="B69" s="18" t="s">
        <v>25</v>
      </c>
      <c r="C69" s="149">
        <v>33</v>
      </c>
      <c r="D69" s="149">
        <f>33+6</f>
        <v>39</v>
      </c>
      <c r="E69" s="148">
        <v>31</v>
      </c>
      <c r="F69" s="148">
        <f>31-6</f>
        <v>25</v>
      </c>
      <c r="G69" s="19">
        <f t="shared" si="1"/>
        <v>32</v>
      </c>
      <c r="H69" s="19">
        <v>32</v>
      </c>
      <c r="I69" s="19">
        <v>33</v>
      </c>
      <c r="J69" s="41"/>
    </row>
    <row r="70" spans="1:10" s="40" customFormat="1" ht="81.75" hidden="1" customHeight="1">
      <c r="A70" s="31">
        <v>57</v>
      </c>
      <c r="B70" s="27" t="s">
        <v>80</v>
      </c>
      <c r="C70" s="148">
        <v>22</v>
      </c>
      <c r="D70" s="148">
        <v>22</v>
      </c>
      <c r="E70" s="148">
        <v>19</v>
      </c>
      <c r="F70" s="148">
        <v>19</v>
      </c>
      <c r="G70" s="19">
        <v>20.399999999999999</v>
      </c>
      <c r="H70" s="159">
        <v>21</v>
      </c>
      <c r="I70" s="19">
        <v>20</v>
      </c>
      <c r="J70" s="41"/>
    </row>
    <row r="71" spans="1:10" s="40" customFormat="1" ht="81.75" hidden="1" customHeight="1">
      <c r="A71" s="31">
        <v>58</v>
      </c>
      <c r="B71" s="27" t="s">
        <v>81</v>
      </c>
      <c r="C71" s="146">
        <v>19</v>
      </c>
      <c r="D71" s="24">
        <f>19+1</f>
        <v>20</v>
      </c>
      <c r="E71" s="24">
        <v>18</v>
      </c>
      <c r="F71" s="24">
        <f>16-1</f>
        <v>15</v>
      </c>
      <c r="G71" s="19">
        <f>ROUND(SUM(C71:F71)/4,0)</f>
        <v>18</v>
      </c>
      <c r="H71" s="21">
        <v>17</v>
      </c>
      <c r="I71" s="147">
        <v>17</v>
      </c>
      <c r="J71" s="41"/>
    </row>
    <row r="72" spans="1:10" s="40" customFormat="1" ht="105.75" hidden="1" customHeight="1">
      <c r="A72" s="31">
        <v>59</v>
      </c>
      <c r="B72" s="27" t="s">
        <v>82</v>
      </c>
      <c r="C72" s="146">
        <f>47+2</f>
        <v>49</v>
      </c>
      <c r="D72" s="24">
        <f>47+7</f>
        <v>54</v>
      </c>
      <c r="E72" s="24">
        <v>46</v>
      </c>
      <c r="F72" s="24">
        <f>44-2-7</f>
        <v>35</v>
      </c>
      <c r="G72" s="19">
        <f>ROUND(SUM(C72:F72)/4,0)</f>
        <v>46</v>
      </c>
      <c r="H72" s="21">
        <v>46</v>
      </c>
      <c r="I72" s="147">
        <v>46</v>
      </c>
      <c r="J72" s="41"/>
    </row>
    <row r="73" spans="1:10" s="40" customFormat="1" ht="105.75" hidden="1" customHeight="1">
      <c r="A73" s="31">
        <v>60</v>
      </c>
      <c r="B73" s="27" t="s">
        <v>83</v>
      </c>
      <c r="C73" s="146">
        <v>39</v>
      </c>
      <c r="D73" s="24">
        <v>40</v>
      </c>
      <c r="E73" s="24">
        <v>36</v>
      </c>
      <c r="F73" s="24">
        <v>37</v>
      </c>
      <c r="G73" s="19">
        <f>ROUND(SUM(C73:F73)/4,0)</f>
        <v>38</v>
      </c>
      <c r="H73" s="21">
        <v>38</v>
      </c>
      <c r="I73" s="147">
        <v>38</v>
      </c>
      <c r="J73" s="41"/>
    </row>
    <row r="74" spans="1:10" s="40" customFormat="1" ht="81.75" hidden="1" customHeight="1">
      <c r="A74" s="31">
        <v>61</v>
      </c>
      <c r="B74" s="27" t="s">
        <v>84</v>
      </c>
      <c r="C74" s="148">
        <v>42</v>
      </c>
      <c r="D74" s="148">
        <v>42</v>
      </c>
      <c r="E74" s="148">
        <v>42</v>
      </c>
      <c r="F74" s="148">
        <v>44</v>
      </c>
      <c r="G74" s="19">
        <v>42.4</v>
      </c>
      <c r="H74" s="165">
        <v>44</v>
      </c>
      <c r="I74" s="147">
        <v>44</v>
      </c>
      <c r="J74" s="41"/>
    </row>
    <row r="75" spans="1:10" s="16" customFormat="1" ht="105" hidden="1" customHeight="1">
      <c r="A75" s="32">
        <v>62</v>
      </c>
      <c r="B75" s="33" t="s">
        <v>85</v>
      </c>
      <c r="C75" s="42">
        <v>40</v>
      </c>
      <c r="D75" s="43">
        <v>40</v>
      </c>
      <c r="E75" s="43">
        <v>40</v>
      </c>
      <c r="F75" s="43">
        <v>40</v>
      </c>
      <c r="G75" s="15">
        <f t="shared" ref="G75:G104" si="2">ROUND(SUM(C75:F75)/4,0)</f>
        <v>40</v>
      </c>
      <c r="H75" s="15">
        <v>40</v>
      </c>
      <c r="I75" s="15">
        <v>40</v>
      </c>
      <c r="J75" s="34"/>
    </row>
    <row r="76" spans="1:10" s="16" customFormat="1" ht="115.5" hidden="1" customHeight="1">
      <c r="A76" s="32">
        <v>63</v>
      </c>
      <c r="B76" s="33" t="s">
        <v>86</v>
      </c>
      <c r="C76" s="36">
        <v>26</v>
      </c>
      <c r="D76" s="35">
        <v>26</v>
      </c>
      <c r="E76" s="35">
        <v>25</v>
      </c>
      <c r="F76" s="35">
        <v>23</v>
      </c>
      <c r="G76" s="15">
        <f t="shared" si="2"/>
        <v>25</v>
      </c>
      <c r="H76" s="37">
        <v>23</v>
      </c>
      <c r="I76" s="38">
        <v>23</v>
      </c>
      <c r="J76" s="34"/>
    </row>
    <row r="77" spans="1:10" s="40" customFormat="1" ht="81.75" hidden="1" customHeight="1">
      <c r="A77" s="31">
        <v>64</v>
      </c>
      <c r="B77" s="27" t="s">
        <v>87</v>
      </c>
      <c r="C77" s="146">
        <v>28</v>
      </c>
      <c r="D77" s="24">
        <f>28+1</f>
        <v>29</v>
      </c>
      <c r="E77" s="24">
        <v>28</v>
      </c>
      <c r="F77" s="24">
        <f>28-1</f>
        <v>27</v>
      </c>
      <c r="G77" s="19">
        <f t="shared" si="2"/>
        <v>28</v>
      </c>
      <c r="H77" s="21">
        <v>28</v>
      </c>
      <c r="I77" s="147">
        <v>28</v>
      </c>
      <c r="J77" s="41"/>
    </row>
    <row r="78" spans="1:10" s="40" customFormat="1" ht="81.75" hidden="1" customHeight="1">
      <c r="A78" s="31">
        <v>65</v>
      </c>
      <c r="B78" s="27" t="s">
        <v>88</v>
      </c>
      <c r="C78" s="24">
        <v>48</v>
      </c>
      <c r="D78" s="24">
        <v>48</v>
      </c>
      <c r="E78" s="24">
        <v>48</v>
      </c>
      <c r="F78" s="24">
        <v>48</v>
      </c>
      <c r="G78" s="19">
        <f t="shared" si="2"/>
        <v>48</v>
      </c>
      <c r="H78" s="165">
        <v>48</v>
      </c>
      <c r="I78" s="147">
        <v>48</v>
      </c>
      <c r="J78" s="41"/>
    </row>
    <row r="79" spans="1:10" s="16" customFormat="1" ht="117" hidden="1" customHeight="1">
      <c r="A79" s="32">
        <v>66</v>
      </c>
      <c r="B79" s="33" t="s">
        <v>89</v>
      </c>
      <c r="C79" s="36">
        <f>6-1</f>
        <v>5</v>
      </c>
      <c r="D79" s="35">
        <f>6-1</f>
        <v>5</v>
      </c>
      <c r="E79" s="35">
        <v>5</v>
      </c>
      <c r="F79" s="35">
        <f>5+1+1</f>
        <v>7</v>
      </c>
      <c r="G79" s="15">
        <f t="shared" si="2"/>
        <v>6</v>
      </c>
      <c r="H79" s="37">
        <v>10</v>
      </c>
      <c r="I79" s="38">
        <v>10</v>
      </c>
      <c r="J79" s="34"/>
    </row>
    <row r="80" spans="1:10" s="40" customFormat="1" ht="81.75" hidden="1" customHeight="1">
      <c r="A80" s="31">
        <v>67</v>
      </c>
      <c r="B80" s="27" t="s">
        <v>90</v>
      </c>
      <c r="C80" s="146">
        <f>41-2</f>
        <v>39</v>
      </c>
      <c r="D80" s="24">
        <f>41+1</f>
        <v>42</v>
      </c>
      <c r="E80" s="24">
        <v>41</v>
      </c>
      <c r="F80" s="24">
        <f>37+2-1</f>
        <v>38</v>
      </c>
      <c r="G80" s="19">
        <f t="shared" si="2"/>
        <v>40</v>
      </c>
      <c r="H80" s="21">
        <v>40</v>
      </c>
      <c r="I80" s="147">
        <v>40</v>
      </c>
      <c r="J80" s="41"/>
    </row>
    <row r="81" spans="1:10" s="40" customFormat="1" ht="81.75" hidden="1" customHeight="1">
      <c r="A81" s="31">
        <v>68</v>
      </c>
      <c r="B81" s="27" t="s">
        <v>91</v>
      </c>
      <c r="C81" s="146">
        <v>49</v>
      </c>
      <c r="D81" s="24">
        <f>49+1</f>
        <v>50</v>
      </c>
      <c r="E81" s="24">
        <v>49</v>
      </c>
      <c r="F81" s="24">
        <f>49-1</f>
        <v>48</v>
      </c>
      <c r="G81" s="19">
        <f t="shared" si="2"/>
        <v>49</v>
      </c>
      <c r="H81" s="147">
        <v>49</v>
      </c>
      <c r="I81" s="147">
        <v>49</v>
      </c>
      <c r="J81" s="41"/>
    </row>
    <row r="82" spans="1:10" s="40" customFormat="1" ht="81.75" hidden="1" customHeight="1">
      <c r="A82" s="31">
        <v>69</v>
      </c>
      <c r="B82" s="27" t="s">
        <v>92</v>
      </c>
      <c r="C82" s="146">
        <v>50</v>
      </c>
      <c r="D82" s="24">
        <v>50</v>
      </c>
      <c r="E82" s="24">
        <v>50</v>
      </c>
      <c r="F82" s="24">
        <v>50</v>
      </c>
      <c r="G82" s="19">
        <f t="shared" si="2"/>
        <v>50</v>
      </c>
      <c r="H82" s="21">
        <v>50</v>
      </c>
      <c r="I82" s="147">
        <v>50</v>
      </c>
      <c r="J82" s="41"/>
    </row>
    <row r="83" spans="1:10" s="40" customFormat="1" ht="81.75" hidden="1" customHeight="1">
      <c r="A83" s="31">
        <v>70</v>
      </c>
      <c r="B83" s="27" t="s">
        <v>93</v>
      </c>
      <c r="C83" s="146">
        <v>57</v>
      </c>
      <c r="D83" s="24">
        <f>52-3</f>
        <v>49</v>
      </c>
      <c r="E83" s="24">
        <v>46</v>
      </c>
      <c r="F83" s="24">
        <f>55+3</f>
        <v>58</v>
      </c>
      <c r="G83" s="19">
        <f t="shared" si="2"/>
        <v>53</v>
      </c>
      <c r="H83" s="21">
        <v>52</v>
      </c>
      <c r="I83" s="147">
        <v>52</v>
      </c>
      <c r="J83" s="41"/>
    </row>
    <row r="84" spans="1:10" s="40" customFormat="1" ht="105.75" hidden="1" customHeight="1">
      <c r="A84" s="31">
        <v>71</v>
      </c>
      <c r="B84" s="27" t="s">
        <v>94</v>
      </c>
      <c r="C84" s="146">
        <v>16</v>
      </c>
      <c r="D84" s="24">
        <v>16</v>
      </c>
      <c r="E84" s="24">
        <v>16</v>
      </c>
      <c r="F84" s="24">
        <v>20</v>
      </c>
      <c r="G84" s="19">
        <f t="shared" si="2"/>
        <v>17</v>
      </c>
      <c r="H84" s="21">
        <v>20</v>
      </c>
      <c r="I84" s="147">
        <v>20</v>
      </c>
      <c r="J84" s="41"/>
    </row>
    <row r="85" spans="1:10" s="40" customFormat="1" ht="81.75" hidden="1" customHeight="1">
      <c r="A85" s="31">
        <v>72</v>
      </c>
      <c r="B85" s="27" t="s">
        <v>95</v>
      </c>
      <c r="C85" s="146">
        <v>90</v>
      </c>
      <c r="D85" s="24">
        <v>87</v>
      </c>
      <c r="E85" s="24">
        <v>82</v>
      </c>
      <c r="F85" s="24">
        <v>82</v>
      </c>
      <c r="G85" s="19">
        <f t="shared" si="2"/>
        <v>85</v>
      </c>
      <c r="H85" s="21">
        <v>82</v>
      </c>
      <c r="I85" s="147">
        <v>82</v>
      </c>
      <c r="J85" s="41"/>
    </row>
    <row r="86" spans="1:10" s="40" customFormat="1" ht="100.5" hidden="1" customHeight="1">
      <c r="A86" s="31">
        <v>73</v>
      </c>
      <c r="B86" s="27" t="s">
        <v>96</v>
      </c>
      <c r="C86" s="146">
        <v>33</v>
      </c>
      <c r="D86" s="24">
        <v>33</v>
      </c>
      <c r="E86" s="24">
        <v>33</v>
      </c>
      <c r="F86" s="24">
        <v>33</v>
      </c>
      <c r="G86" s="19">
        <f t="shared" si="2"/>
        <v>33</v>
      </c>
      <c r="H86" s="21">
        <v>33</v>
      </c>
      <c r="I86" s="147">
        <v>33</v>
      </c>
      <c r="J86" s="41"/>
    </row>
    <row r="87" spans="1:10" s="40" customFormat="1" ht="81.75" hidden="1" customHeight="1">
      <c r="A87" s="31">
        <v>74</v>
      </c>
      <c r="B87" s="27" t="s">
        <v>97</v>
      </c>
      <c r="C87" s="146">
        <v>31</v>
      </c>
      <c r="D87" s="24">
        <v>31</v>
      </c>
      <c r="E87" s="24">
        <v>30</v>
      </c>
      <c r="F87" s="24">
        <v>27</v>
      </c>
      <c r="G87" s="19">
        <f t="shared" si="2"/>
        <v>30</v>
      </c>
      <c r="H87" s="21">
        <v>30</v>
      </c>
      <c r="I87" s="147">
        <v>30</v>
      </c>
      <c r="J87" s="41"/>
    </row>
    <row r="88" spans="1:10" s="40" customFormat="1" ht="81.75" hidden="1" customHeight="1">
      <c r="A88" s="31">
        <v>75</v>
      </c>
      <c r="B88" s="27" t="s">
        <v>98</v>
      </c>
      <c r="C88" s="146">
        <f>19+1</f>
        <v>20</v>
      </c>
      <c r="D88" s="24">
        <f>16+2</f>
        <v>18</v>
      </c>
      <c r="E88" s="24">
        <v>12</v>
      </c>
      <c r="F88" s="24">
        <f>12-1-2</f>
        <v>9</v>
      </c>
      <c r="G88" s="19">
        <f t="shared" si="2"/>
        <v>15</v>
      </c>
      <c r="H88" s="21">
        <v>8</v>
      </c>
      <c r="I88" s="147">
        <v>3</v>
      </c>
      <c r="J88" s="41"/>
    </row>
    <row r="89" spans="1:10" s="40" customFormat="1" ht="81.75" hidden="1" customHeight="1">
      <c r="A89" s="31">
        <v>76</v>
      </c>
      <c r="B89" s="27" t="s">
        <v>99</v>
      </c>
      <c r="C89" s="146">
        <v>44</v>
      </c>
      <c r="D89" s="24">
        <v>44</v>
      </c>
      <c r="E89" s="24">
        <v>44</v>
      </c>
      <c r="F89" s="24">
        <v>44</v>
      </c>
      <c r="G89" s="19">
        <f t="shared" si="2"/>
        <v>44</v>
      </c>
      <c r="H89" s="21">
        <v>44</v>
      </c>
      <c r="I89" s="147">
        <v>44</v>
      </c>
      <c r="J89" s="41"/>
    </row>
    <row r="90" spans="1:10" s="40" customFormat="1" ht="81.75" hidden="1" customHeight="1">
      <c r="A90" s="31">
        <v>77</v>
      </c>
      <c r="B90" s="27" t="s">
        <v>100</v>
      </c>
      <c r="C90" s="146">
        <v>117</v>
      </c>
      <c r="D90" s="24">
        <v>117</v>
      </c>
      <c r="E90" s="24">
        <v>111</v>
      </c>
      <c r="F90" s="24">
        <v>99</v>
      </c>
      <c r="G90" s="19">
        <f t="shared" si="2"/>
        <v>111</v>
      </c>
      <c r="H90" s="21">
        <v>111</v>
      </c>
      <c r="I90" s="147">
        <v>111</v>
      </c>
      <c r="J90" s="41"/>
    </row>
    <row r="91" spans="1:10" s="40" customFormat="1" ht="115.5" hidden="1" customHeight="1">
      <c r="A91" s="31">
        <v>78</v>
      </c>
      <c r="B91" s="27" t="s">
        <v>101</v>
      </c>
      <c r="C91" s="146">
        <f>20+1</f>
        <v>21</v>
      </c>
      <c r="D91" s="24">
        <f>20+4</f>
        <v>24</v>
      </c>
      <c r="E91" s="24">
        <v>20</v>
      </c>
      <c r="F91" s="24">
        <f>20-1-4</f>
        <v>15</v>
      </c>
      <c r="G91" s="19">
        <f t="shared" si="2"/>
        <v>20</v>
      </c>
      <c r="H91" s="21">
        <v>20</v>
      </c>
      <c r="I91" s="147">
        <v>20</v>
      </c>
      <c r="J91" s="41"/>
    </row>
    <row r="92" spans="1:10" s="40" customFormat="1" ht="81.75" hidden="1" customHeight="1">
      <c r="A92" s="31">
        <v>79</v>
      </c>
      <c r="B92" s="27" t="s">
        <v>102</v>
      </c>
      <c r="C92" s="160">
        <v>33</v>
      </c>
      <c r="D92" s="161">
        <f>33+1</f>
        <v>34</v>
      </c>
      <c r="E92" s="161">
        <v>24</v>
      </c>
      <c r="F92" s="161">
        <f>24-1</f>
        <v>23</v>
      </c>
      <c r="G92" s="19">
        <f t="shared" si="2"/>
        <v>29</v>
      </c>
      <c r="H92" s="21">
        <v>30</v>
      </c>
      <c r="I92" s="147">
        <v>30</v>
      </c>
      <c r="J92" s="41"/>
    </row>
    <row r="93" spans="1:10" s="16" customFormat="1" ht="81.75" hidden="1" customHeight="1">
      <c r="A93" s="32">
        <v>80</v>
      </c>
      <c r="B93" s="33" t="s">
        <v>103</v>
      </c>
      <c r="C93" s="13">
        <v>21</v>
      </c>
      <c r="D93" s="13">
        <v>21</v>
      </c>
      <c r="E93" s="13">
        <v>19</v>
      </c>
      <c r="F93" s="13">
        <v>19</v>
      </c>
      <c r="G93" s="15">
        <f t="shared" si="2"/>
        <v>20</v>
      </c>
      <c r="H93" s="37">
        <v>20</v>
      </c>
      <c r="I93" s="38">
        <v>20</v>
      </c>
      <c r="J93" s="34"/>
    </row>
    <row r="94" spans="1:10" s="40" customFormat="1" ht="81.75" hidden="1" customHeight="1">
      <c r="A94" s="31">
        <v>81</v>
      </c>
      <c r="B94" s="27" t="s">
        <v>104</v>
      </c>
      <c r="C94" s="19">
        <v>31</v>
      </c>
      <c r="D94" s="19">
        <v>31</v>
      </c>
      <c r="E94" s="19">
        <v>29</v>
      </c>
      <c r="F94" s="19">
        <v>29</v>
      </c>
      <c r="G94" s="19">
        <f t="shared" si="2"/>
        <v>30</v>
      </c>
      <c r="H94" s="159">
        <v>29</v>
      </c>
      <c r="I94" s="19">
        <v>29</v>
      </c>
      <c r="J94" s="41"/>
    </row>
    <row r="95" spans="1:10" s="40" customFormat="1" ht="81.75" customHeight="1">
      <c r="A95" s="185">
        <v>82</v>
      </c>
      <c r="B95" s="186" t="s">
        <v>105</v>
      </c>
      <c r="C95" s="187">
        <v>94</v>
      </c>
      <c r="D95" s="187">
        <f>94-2</f>
        <v>92</v>
      </c>
      <c r="E95" s="187">
        <v>89</v>
      </c>
      <c r="F95" s="187">
        <f>78+2</f>
        <v>80</v>
      </c>
      <c r="G95" s="188">
        <f t="shared" si="2"/>
        <v>89</v>
      </c>
      <c r="H95" s="189">
        <v>78</v>
      </c>
      <c r="I95" s="190">
        <v>78</v>
      </c>
      <c r="J95" s="41"/>
    </row>
    <row r="96" spans="1:10" s="40" customFormat="1" ht="81.75" hidden="1" customHeight="1">
      <c r="A96" s="31">
        <v>83</v>
      </c>
      <c r="B96" s="27" t="s">
        <v>106</v>
      </c>
      <c r="C96" s="146">
        <f>92+1</f>
        <v>93</v>
      </c>
      <c r="D96" s="24">
        <f>92+1</f>
        <v>93</v>
      </c>
      <c r="E96" s="24">
        <v>92</v>
      </c>
      <c r="F96" s="24">
        <f>92-1-1</f>
        <v>90</v>
      </c>
      <c r="G96" s="19">
        <f t="shared" si="2"/>
        <v>92</v>
      </c>
      <c r="H96" s="21">
        <v>92</v>
      </c>
      <c r="I96" s="147">
        <v>92</v>
      </c>
      <c r="J96" s="41"/>
    </row>
    <row r="97" spans="1:10" s="40" customFormat="1" ht="115.5" hidden="1" customHeight="1">
      <c r="A97" s="31">
        <v>84</v>
      </c>
      <c r="B97" s="27" t="s">
        <v>107</v>
      </c>
      <c r="C97" s="148">
        <f>36-1</f>
        <v>35</v>
      </c>
      <c r="D97" s="148">
        <f>36-1</f>
        <v>35</v>
      </c>
      <c r="E97" s="148">
        <v>35</v>
      </c>
      <c r="F97" s="148">
        <f>34+1+1</f>
        <v>36</v>
      </c>
      <c r="G97" s="19">
        <f t="shared" si="2"/>
        <v>35</v>
      </c>
      <c r="H97" s="21">
        <v>32</v>
      </c>
      <c r="I97" s="147">
        <v>26</v>
      </c>
      <c r="J97" s="41"/>
    </row>
    <row r="98" spans="1:10" s="40" customFormat="1" ht="81.75" hidden="1" customHeight="1">
      <c r="A98" s="31">
        <v>85</v>
      </c>
      <c r="B98" s="27" t="s">
        <v>26</v>
      </c>
      <c r="C98" s="146">
        <v>26</v>
      </c>
      <c r="D98" s="24">
        <f>26-1</f>
        <v>25</v>
      </c>
      <c r="E98" s="24">
        <v>26</v>
      </c>
      <c r="F98" s="24">
        <f>26+1</f>
        <v>27</v>
      </c>
      <c r="G98" s="19">
        <f t="shared" si="2"/>
        <v>26</v>
      </c>
      <c r="H98" s="21">
        <v>28</v>
      </c>
      <c r="I98" s="147">
        <v>28</v>
      </c>
      <c r="J98" s="41"/>
    </row>
    <row r="99" spans="1:10" s="40" customFormat="1" ht="81.75" hidden="1" customHeight="1">
      <c r="A99" s="31">
        <v>86</v>
      </c>
      <c r="B99" s="27" t="s">
        <v>27</v>
      </c>
      <c r="C99" s="146">
        <v>42</v>
      </c>
      <c r="D99" s="24">
        <v>42</v>
      </c>
      <c r="E99" s="148">
        <v>41</v>
      </c>
      <c r="F99" s="24">
        <v>41</v>
      </c>
      <c r="G99" s="19">
        <f t="shared" si="2"/>
        <v>42</v>
      </c>
      <c r="H99" s="21">
        <v>41</v>
      </c>
      <c r="I99" s="147">
        <v>41</v>
      </c>
      <c r="J99" s="41"/>
    </row>
    <row r="100" spans="1:10" s="16" customFormat="1" ht="111.75" hidden="1" customHeight="1">
      <c r="A100" s="32">
        <v>87</v>
      </c>
      <c r="B100" s="33" t="s">
        <v>108</v>
      </c>
      <c r="C100" s="36">
        <v>30</v>
      </c>
      <c r="D100" s="35">
        <f>30-2</f>
        <v>28</v>
      </c>
      <c r="E100" s="35">
        <v>30</v>
      </c>
      <c r="F100" s="35">
        <f>30+2</f>
        <v>32</v>
      </c>
      <c r="G100" s="15">
        <f t="shared" si="2"/>
        <v>30</v>
      </c>
      <c r="H100" s="37">
        <v>29</v>
      </c>
      <c r="I100" s="38">
        <v>29</v>
      </c>
      <c r="J100" s="34"/>
    </row>
    <row r="101" spans="1:10" s="40" customFormat="1" ht="81.75" hidden="1" customHeight="1">
      <c r="A101" s="31">
        <v>88</v>
      </c>
      <c r="B101" s="27" t="s">
        <v>109</v>
      </c>
      <c r="C101" s="146">
        <v>60</v>
      </c>
      <c r="D101" s="24">
        <v>60</v>
      </c>
      <c r="E101" s="24">
        <v>71</v>
      </c>
      <c r="F101" s="24">
        <v>71</v>
      </c>
      <c r="G101" s="19">
        <f t="shared" si="2"/>
        <v>66</v>
      </c>
      <c r="H101" s="21">
        <v>71</v>
      </c>
      <c r="I101" s="147">
        <v>71</v>
      </c>
      <c r="J101" s="41"/>
    </row>
    <row r="102" spans="1:10" s="40" customFormat="1" ht="81.75" hidden="1" customHeight="1">
      <c r="A102" s="31">
        <v>89</v>
      </c>
      <c r="B102" s="27" t="s">
        <v>110</v>
      </c>
      <c r="C102" s="24">
        <v>88</v>
      </c>
      <c r="D102" s="24">
        <f>88+1</f>
        <v>89</v>
      </c>
      <c r="E102" s="24">
        <v>85</v>
      </c>
      <c r="F102" s="24">
        <f>79-1</f>
        <v>78</v>
      </c>
      <c r="G102" s="19">
        <f t="shared" si="2"/>
        <v>85</v>
      </c>
      <c r="H102" s="165">
        <v>75</v>
      </c>
      <c r="I102" s="147">
        <v>73</v>
      </c>
      <c r="J102" s="41"/>
    </row>
    <row r="103" spans="1:10" s="40" customFormat="1" ht="85.5" hidden="1" customHeight="1">
      <c r="A103" s="31">
        <v>90</v>
      </c>
      <c r="B103" s="27" t="s">
        <v>111</v>
      </c>
      <c r="C103" s="24">
        <v>72</v>
      </c>
      <c r="D103" s="24">
        <f>72+1</f>
        <v>73</v>
      </c>
      <c r="E103" s="24">
        <v>71</v>
      </c>
      <c r="F103" s="24">
        <f>69-1</f>
        <v>68</v>
      </c>
      <c r="G103" s="19">
        <f t="shared" si="2"/>
        <v>71</v>
      </c>
      <c r="H103" s="165">
        <v>68</v>
      </c>
      <c r="I103" s="147">
        <v>66</v>
      </c>
      <c r="J103" s="41"/>
    </row>
    <row r="104" spans="1:10" s="40" customFormat="1" ht="84" hidden="1" customHeight="1">
      <c r="A104" s="31">
        <v>91</v>
      </c>
      <c r="B104" s="27" t="s">
        <v>112</v>
      </c>
      <c r="C104" s="24">
        <f>78+1</f>
        <v>79</v>
      </c>
      <c r="D104" s="24">
        <f>78+1</f>
        <v>79</v>
      </c>
      <c r="E104" s="24">
        <v>72</v>
      </c>
      <c r="F104" s="24">
        <f>72-1-1</f>
        <v>70</v>
      </c>
      <c r="G104" s="19">
        <f t="shared" si="2"/>
        <v>75</v>
      </c>
      <c r="H104" s="165">
        <v>72</v>
      </c>
      <c r="I104" s="147">
        <v>60</v>
      </c>
      <c r="J104" s="41"/>
    </row>
    <row r="105" spans="1:10" s="40" customFormat="1" ht="84" hidden="1" customHeight="1">
      <c r="A105" s="31">
        <v>92</v>
      </c>
      <c r="B105" s="27" t="s">
        <v>511</v>
      </c>
      <c r="C105" s="24">
        <v>0</v>
      </c>
      <c r="D105" s="24">
        <v>105</v>
      </c>
      <c r="E105" s="24">
        <v>102</v>
      </c>
      <c r="F105" s="24">
        <v>95</v>
      </c>
      <c r="G105" s="19">
        <v>75.400000000000006</v>
      </c>
      <c r="H105" s="165">
        <v>0</v>
      </c>
      <c r="I105" s="147">
        <v>0</v>
      </c>
      <c r="J105" s="28"/>
    </row>
    <row r="106" spans="1:10" ht="15.6">
      <c r="A106" s="44"/>
      <c r="B106" s="27" t="s">
        <v>28</v>
      </c>
      <c r="C106" s="168">
        <f>SUM(C14:C105)</f>
        <v>14218</v>
      </c>
      <c r="D106" s="168">
        <f>SUM(D14:D105)</f>
        <v>14335</v>
      </c>
      <c r="E106" s="168">
        <f>SUM(E14:E105)</f>
        <v>14201</v>
      </c>
      <c r="F106" s="168">
        <f>SUM(F14:F105)</f>
        <v>14143</v>
      </c>
      <c r="G106" s="19">
        <f>ROUND(SUM(C106:F106)/4,0)</f>
        <v>14224</v>
      </c>
      <c r="H106" s="166">
        <f>ROUND(SUM(H14:H105),0)</f>
        <v>13926</v>
      </c>
      <c r="I106" s="166">
        <f>ROUND(SUM(I14:I105),0)</f>
        <v>13748</v>
      </c>
    </row>
    <row r="107" spans="1:10" ht="15.6">
      <c r="A107" s="45"/>
      <c r="B107" s="2"/>
      <c r="C107" s="2"/>
      <c r="D107" s="2"/>
      <c r="E107" s="2"/>
      <c r="F107" s="2"/>
      <c r="G107" s="2"/>
    </row>
    <row r="108" spans="1:10" ht="15.6">
      <c r="A108" s="45"/>
      <c r="B108" s="2"/>
      <c r="C108" s="2"/>
      <c r="D108" s="2"/>
      <c r="E108" s="2"/>
      <c r="F108" s="2"/>
    </row>
    <row r="109" spans="1:10" ht="15.6">
      <c r="A109" s="174" t="s">
        <v>113</v>
      </c>
      <c r="B109" s="174"/>
      <c r="C109" s="174"/>
      <c r="D109" s="174"/>
      <c r="E109" s="174"/>
      <c r="F109" s="174"/>
      <c r="G109" s="174"/>
      <c r="H109" s="174"/>
      <c r="I109" s="174"/>
    </row>
  </sheetData>
  <sheetProtection selectLockedCells="1" selectUnlockedCells="1"/>
  <mergeCells count="5">
    <mergeCell ref="A10:I10"/>
    <mergeCell ref="A12:A13"/>
    <mergeCell ref="B12:B13"/>
    <mergeCell ref="C12:I12"/>
    <mergeCell ref="A109:I109"/>
  </mergeCells>
  <pageMargins left="0.78749999999999998" right="0.39374999999999999" top="0.78749999999999998" bottom="0.39374999999999999" header="0.51180555555555551" footer="0.51180555555555551"/>
  <pageSetup paperSize="9" scale="6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I115"/>
  <sheetViews>
    <sheetView view="pageBreakPreview" zoomScaleSheetLayoutView="100" workbookViewId="0">
      <pane xSplit="2" ySplit="13" topLeftCell="C14" activePane="bottomRight" state="frozen"/>
      <selection pane="topRight" activeCell="C1" sqref="C1"/>
      <selection pane="bottomLeft" activeCell="A17" sqref="A17"/>
      <selection pane="bottomRight" activeCell="C114" sqref="C114"/>
    </sheetView>
  </sheetViews>
  <sheetFormatPr defaultRowHeight="14.4"/>
  <cols>
    <col min="1" max="1" width="5.109375" customWidth="1"/>
    <col min="2" max="2" width="54.44140625" customWidth="1"/>
    <col min="3" max="3" width="11.33203125" customWidth="1"/>
    <col min="4" max="4" width="10.88671875" customWidth="1"/>
    <col min="5" max="5" width="10.6640625" customWidth="1"/>
    <col min="6" max="6" width="11" customWidth="1"/>
    <col min="7" max="7" width="14.33203125" style="28" customWidth="1"/>
    <col min="8" max="8" width="15.5546875" customWidth="1"/>
    <col min="9" max="9" width="16.44140625" customWidth="1"/>
  </cols>
  <sheetData>
    <row r="1" spans="1:9" ht="15.6" hidden="1">
      <c r="A1" s="40"/>
      <c r="B1" s="40"/>
      <c r="C1" s="40"/>
      <c r="D1" s="40"/>
      <c r="E1" s="5" t="s">
        <v>114</v>
      </c>
      <c r="F1" s="40"/>
      <c r="G1" s="41"/>
      <c r="H1" s="40"/>
      <c r="I1" s="40"/>
    </row>
    <row r="2" spans="1:9" hidden="1">
      <c r="A2" s="40"/>
      <c r="B2" s="40"/>
      <c r="C2" s="40"/>
      <c r="D2" s="40"/>
      <c r="E2" s="40"/>
      <c r="F2" s="40"/>
      <c r="G2" s="41"/>
      <c r="H2" s="40"/>
      <c r="I2" s="40"/>
    </row>
    <row r="3" spans="1:9" ht="15.6">
      <c r="A3" s="1"/>
      <c r="B3" s="1"/>
      <c r="C3" s="5"/>
      <c r="D3" s="5"/>
      <c r="E3" s="1"/>
      <c r="F3" s="1"/>
      <c r="G3" s="1" t="s">
        <v>115</v>
      </c>
      <c r="H3" s="2"/>
      <c r="I3" s="2"/>
    </row>
    <row r="4" spans="1:9" ht="28.5" customHeight="1">
      <c r="A4" s="3" t="s">
        <v>116</v>
      </c>
      <c r="B4" s="3"/>
      <c r="C4" s="5"/>
      <c r="D4" s="5"/>
      <c r="E4" s="3"/>
      <c r="F4" s="3"/>
      <c r="G4" s="1" t="s">
        <v>30</v>
      </c>
      <c r="H4" s="2"/>
      <c r="I4" s="2"/>
    </row>
    <row r="5" spans="1:9" ht="29.25" customHeight="1">
      <c r="A5" s="3"/>
      <c r="B5" s="3"/>
      <c r="C5" s="5"/>
      <c r="D5" s="5"/>
      <c r="E5" s="3"/>
      <c r="F5" s="1"/>
      <c r="G5" s="3" t="s">
        <v>3</v>
      </c>
      <c r="H5" s="2"/>
      <c r="I5" s="2"/>
    </row>
    <row r="6" spans="1:9" ht="15.6">
      <c r="A6" s="1"/>
      <c r="B6" s="1"/>
      <c r="C6" s="5"/>
      <c r="D6" s="5"/>
      <c r="E6" s="1"/>
      <c r="F6" s="1"/>
      <c r="G6" s="3" t="s">
        <v>4</v>
      </c>
      <c r="H6" s="3"/>
      <c r="I6" s="3"/>
    </row>
    <row r="7" spans="1:9" ht="15.6">
      <c r="A7" s="1"/>
      <c r="B7" s="1"/>
      <c r="C7" s="5"/>
      <c r="D7" s="5"/>
      <c r="E7" s="1"/>
      <c r="F7" s="1"/>
      <c r="G7" s="1" t="s">
        <v>517</v>
      </c>
      <c r="H7" s="2"/>
      <c r="I7" s="2">
        <v>769</v>
      </c>
    </row>
    <row r="8" spans="1:9" ht="15.6">
      <c r="A8" s="1"/>
      <c r="B8" s="1"/>
      <c r="C8" s="5"/>
      <c r="D8" s="5"/>
      <c r="E8" s="1"/>
      <c r="F8" s="1"/>
      <c r="G8" s="1"/>
      <c r="H8" s="5"/>
      <c r="I8" s="46"/>
    </row>
    <row r="9" spans="1:9" ht="28.5" customHeight="1">
      <c r="A9" s="4"/>
      <c r="B9" s="4"/>
      <c r="C9" s="5"/>
      <c r="D9" s="5"/>
      <c r="E9" s="5"/>
      <c r="F9" s="5"/>
      <c r="G9" s="46"/>
      <c r="H9" s="5"/>
      <c r="I9" s="5"/>
    </row>
    <row r="10" spans="1:9" ht="55.5" customHeight="1">
      <c r="A10" s="175" t="s">
        <v>117</v>
      </c>
      <c r="B10" s="175"/>
      <c r="C10" s="175"/>
      <c r="D10" s="175"/>
      <c r="E10" s="175"/>
      <c r="F10" s="175"/>
      <c r="G10" s="175"/>
      <c r="H10" s="175"/>
      <c r="I10" s="175"/>
    </row>
    <row r="11" spans="1:9" ht="16.5" customHeight="1">
      <c r="A11" s="48"/>
      <c r="B11" s="48"/>
      <c r="C11" s="47"/>
      <c r="D11" s="47"/>
      <c r="E11" s="47"/>
      <c r="F11" s="49"/>
      <c r="G11" s="49"/>
      <c r="H11" s="5"/>
      <c r="I11" s="5"/>
    </row>
    <row r="12" spans="1:9" ht="37.5" customHeight="1">
      <c r="A12" s="172" t="s">
        <v>6</v>
      </c>
      <c r="B12" s="172" t="s">
        <v>7</v>
      </c>
      <c r="C12" s="172" t="s">
        <v>8</v>
      </c>
      <c r="D12" s="172"/>
      <c r="E12" s="172"/>
      <c r="F12" s="172"/>
      <c r="G12" s="172"/>
      <c r="H12" s="172"/>
      <c r="I12" s="172"/>
    </row>
    <row r="13" spans="1:9" ht="31.2">
      <c r="A13" s="172"/>
      <c r="B13" s="172"/>
      <c r="C13" s="9" t="s">
        <v>9</v>
      </c>
      <c r="D13" s="9" t="s">
        <v>10</v>
      </c>
      <c r="E13" s="9" t="s">
        <v>11</v>
      </c>
      <c r="F13" s="9" t="s">
        <v>12</v>
      </c>
      <c r="G13" s="9" t="s">
        <v>13</v>
      </c>
      <c r="H13" s="9" t="s">
        <v>14</v>
      </c>
      <c r="I13" s="9" t="s">
        <v>15</v>
      </c>
    </row>
    <row r="14" spans="1:9" s="40" customFormat="1" ht="46.8" hidden="1">
      <c r="A14" s="8">
        <v>1</v>
      </c>
      <c r="B14" s="27" t="s">
        <v>32</v>
      </c>
      <c r="C14" s="24">
        <v>174</v>
      </c>
      <c r="D14" s="24">
        <v>174</v>
      </c>
      <c r="E14" s="24">
        <v>175</v>
      </c>
      <c r="F14" s="24">
        <v>174</v>
      </c>
      <c r="G14" s="19">
        <f>ROUND(SUM(C14:F14)/4,0)</f>
        <v>174</v>
      </c>
      <c r="H14" s="24">
        <v>174</v>
      </c>
      <c r="I14" s="148">
        <v>177</v>
      </c>
    </row>
    <row r="15" spans="1:9" s="16" customFormat="1" ht="46.8" hidden="1">
      <c r="A15" s="10">
        <v>2</v>
      </c>
      <c r="B15" s="33" t="s">
        <v>16</v>
      </c>
      <c r="C15" s="43">
        <v>67</v>
      </c>
      <c r="D15" s="43">
        <v>67</v>
      </c>
      <c r="E15" s="43">
        <v>67</v>
      </c>
      <c r="F15" s="43">
        <v>68</v>
      </c>
      <c r="G15" s="15">
        <f>ROUND(SUM(C15:F15)/4,0)</f>
        <v>67</v>
      </c>
      <c r="H15" s="43">
        <v>61</v>
      </c>
      <c r="I15" s="43">
        <v>60</v>
      </c>
    </row>
    <row r="16" spans="1:9" s="40" customFormat="1" ht="62.4" hidden="1">
      <c r="A16" s="8">
        <v>3</v>
      </c>
      <c r="B16" s="27" t="s">
        <v>33</v>
      </c>
      <c r="C16" s="24">
        <v>391</v>
      </c>
      <c r="D16" s="24">
        <v>391</v>
      </c>
      <c r="E16" s="24">
        <v>394</v>
      </c>
      <c r="F16" s="24">
        <v>399</v>
      </c>
      <c r="G16" s="19">
        <f>ROUND(SUM(C16:F16)/4,0)</f>
        <v>394</v>
      </c>
      <c r="H16" s="24">
        <v>408</v>
      </c>
      <c r="I16" s="148">
        <v>441</v>
      </c>
    </row>
    <row r="17" spans="1:9" s="16" customFormat="1" ht="62.4" hidden="1">
      <c r="A17" s="10">
        <v>4</v>
      </c>
      <c r="B17" s="33" t="s">
        <v>118</v>
      </c>
      <c r="C17" s="35">
        <f>316+1</f>
        <v>317</v>
      </c>
      <c r="D17" s="35">
        <f>316+1</f>
        <v>317</v>
      </c>
      <c r="E17" s="35">
        <v>314</v>
      </c>
      <c r="F17" s="35">
        <f>311-1-1</f>
        <v>309</v>
      </c>
      <c r="G17" s="15">
        <f>ROUND(SUM(C17:F17)/4,0)</f>
        <v>314</v>
      </c>
      <c r="H17" s="35">
        <v>311</v>
      </c>
      <c r="I17" s="50">
        <v>331</v>
      </c>
    </row>
    <row r="18" spans="1:9" s="40" customFormat="1" ht="62.4" hidden="1">
      <c r="A18" s="8">
        <v>5</v>
      </c>
      <c r="B18" s="27" t="s">
        <v>35</v>
      </c>
      <c r="C18" s="24">
        <f>124+1</f>
        <v>125</v>
      </c>
      <c r="D18" s="24">
        <f>124+1</f>
        <v>125</v>
      </c>
      <c r="E18" s="24">
        <v>127</v>
      </c>
      <c r="F18" s="24">
        <f>135-1-1</f>
        <v>133</v>
      </c>
      <c r="G18" s="19">
        <v>127.4</v>
      </c>
      <c r="H18" s="24">
        <v>135</v>
      </c>
      <c r="I18" s="148">
        <v>135</v>
      </c>
    </row>
    <row r="19" spans="1:9" s="16" customFormat="1" ht="46.8" hidden="1">
      <c r="A19" s="10">
        <v>6</v>
      </c>
      <c r="B19" s="33" t="s">
        <v>17</v>
      </c>
      <c r="C19" s="43">
        <v>37</v>
      </c>
      <c r="D19" s="43">
        <v>37</v>
      </c>
      <c r="E19" s="43">
        <v>34</v>
      </c>
      <c r="F19" s="43">
        <v>34</v>
      </c>
      <c r="G19" s="15">
        <f>ROUND(SUM(C19:F19)/4,0)</f>
        <v>36</v>
      </c>
      <c r="H19" s="43">
        <v>33</v>
      </c>
      <c r="I19" s="43">
        <v>30</v>
      </c>
    </row>
    <row r="20" spans="1:9" s="40" customFormat="1" ht="63" hidden="1" customHeight="1">
      <c r="A20" s="8">
        <v>7</v>
      </c>
      <c r="B20" s="27" t="s">
        <v>36</v>
      </c>
      <c r="C20" s="24">
        <v>555</v>
      </c>
      <c r="D20" s="24">
        <v>555</v>
      </c>
      <c r="E20" s="24">
        <v>588</v>
      </c>
      <c r="F20" s="24">
        <v>588</v>
      </c>
      <c r="G20" s="19">
        <v>571.4</v>
      </c>
      <c r="H20" s="24">
        <v>623</v>
      </c>
      <c r="I20" s="148">
        <v>640</v>
      </c>
    </row>
    <row r="21" spans="1:9" s="16" customFormat="1" ht="62.4" hidden="1">
      <c r="A21" s="10">
        <v>8</v>
      </c>
      <c r="B21" s="33" t="s">
        <v>119</v>
      </c>
      <c r="C21" s="35">
        <f>19+2</f>
        <v>21</v>
      </c>
      <c r="D21" s="35">
        <f>19+2</f>
        <v>21</v>
      </c>
      <c r="E21" s="35">
        <v>20</v>
      </c>
      <c r="F21" s="35">
        <f>15-2-2</f>
        <v>11</v>
      </c>
      <c r="G21" s="15">
        <f t="shared" ref="G21:G38" si="0">ROUND(SUM(C21:F21)/4,0)</f>
        <v>18</v>
      </c>
      <c r="H21" s="35">
        <v>18</v>
      </c>
      <c r="I21" s="50">
        <v>18</v>
      </c>
    </row>
    <row r="22" spans="1:9" s="40" customFormat="1" ht="62.4" hidden="1">
      <c r="A22" s="8">
        <v>9</v>
      </c>
      <c r="B22" s="27" t="s">
        <v>120</v>
      </c>
      <c r="C22" s="24">
        <f>225+1</f>
        <v>226</v>
      </c>
      <c r="D22" s="24">
        <v>225</v>
      </c>
      <c r="E22" s="24">
        <v>227</v>
      </c>
      <c r="F22" s="24">
        <f>233-1</f>
        <v>232</v>
      </c>
      <c r="G22" s="19">
        <f t="shared" si="0"/>
        <v>228</v>
      </c>
      <c r="H22" s="24">
        <v>235</v>
      </c>
      <c r="I22" s="24">
        <v>235</v>
      </c>
    </row>
    <row r="23" spans="1:9" s="40" customFormat="1" ht="46.8" hidden="1">
      <c r="A23" s="8">
        <v>10</v>
      </c>
      <c r="B23" s="27" t="s">
        <v>38</v>
      </c>
      <c r="C23" s="24">
        <f>374-1</f>
        <v>373</v>
      </c>
      <c r="D23" s="24">
        <f>374-2</f>
        <v>372</v>
      </c>
      <c r="E23" s="24">
        <v>382</v>
      </c>
      <c r="F23" s="24">
        <f>399+1+2</f>
        <v>402</v>
      </c>
      <c r="G23" s="19">
        <f t="shared" si="0"/>
        <v>382</v>
      </c>
      <c r="H23" s="24">
        <v>370</v>
      </c>
      <c r="I23" s="148">
        <v>365</v>
      </c>
    </row>
    <row r="24" spans="1:9" s="16" customFormat="1" ht="46.8" hidden="1">
      <c r="A24" s="10">
        <v>11</v>
      </c>
      <c r="B24" s="33" t="s">
        <v>39</v>
      </c>
      <c r="C24" s="43">
        <f>32-1</f>
        <v>31</v>
      </c>
      <c r="D24" s="43">
        <f>32-1</f>
        <v>31</v>
      </c>
      <c r="E24" s="43">
        <v>33</v>
      </c>
      <c r="F24" s="43">
        <f>35+1+1</f>
        <v>37</v>
      </c>
      <c r="G24" s="15">
        <f t="shared" si="0"/>
        <v>33</v>
      </c>
      <c r="H24" s="43">
        <v>34</v>
      </c>
      <c r="I24" s="43">
        <v>34</v>
      </c>
    </row>
    <row r="25" spans="1:9" s="16" customFormat="1" ht="62.4" hidden="1">
      <c r="A25" s="10">
        <v>12</v>
      </c>
      <c r="B25" s="33" t="s">
        <v>121</v>
      </c>
      <c r="C25" s="43">
        <v>32</v>
      </c>
      <c r="D25" s="43">
        <v>32</v>
      </c>
      <c r="E25" s="43">
        <v>32</v>
      </c>
      <c r="F25" s="43">
        <v>32</v>
      </c>
      <c r="G25" s="15">
        <f t="shared" si="0"/>
        <v>32</v>
      </c>
      <c r="H25" s="43">
        <v>32</v>
      </c>
      <c r="I25" s="43">
        <v>28</v>
      </c>
    </row>
    <row r="26" spans="1:9" s="40" customFormat="1" ht="62.4" hidden="1">
      <c r="A26" s="8">
        <v>13</v>
      </c>
      <c r="B26" s="27" t="s">
        <v>41</v>
      </c>
      <c r="C26" s="24">
        <f>234-1</f>
        <v>233</v>
      </c>
      <c r="D26" s="24">
        <f>234-1</f>
        <v>233</v>
      </c>
      <c r="E26" s="148">
        <v>237</v>
      </c>
      <c r="F26" s="24">
        <f>242+1</f>
        <v>243</v>
      </c>
      <c r="G26" s="19">
        <f t="shared" si="0"/>
        <v>237</v>
      </c>
      <c r="H26" s="21">
        <v>237</v>
      </c>
      <c r="I26" s="21">
        <v>237</v>
      </c>
    </row>
    <row r="27" spans="1:9" s="40" customFormat="1" ht="62.4" hidden="1">
      <c r="A27" s="8">
        <v>14</v>
      </c>
      <c r="B27" s="27" t="s">
        <v>42</v>
      </c>
      <c r="C27" s="24">
        <f>294+1</f>
        <v>295</v>
      </c>
      <c r="D27" s="24">
        <f>294-1</f>
        <v>293</v>
      </c>
      <c r="E27" s="24">
        <v>298</v>
      </c>
      <c r="F27" s="24">
        <f>305-1+1</f>
        <v>305</v>
      </c>
      <c r="G27" s="19">
        <f t="shared" si="0"/>
        <v>298</v>
      </c>
      <c r="H27" s="24">
        <v>310</v>
      </c>
      <c r="I27" s="148">
        <v>324</v>
      </c>
    </row>
    <row r="28" spans="1:9" s="40" customFormat="1" ht="62.4" hidden="1">
      <c r="A28" s="8">
        <v>15</v>
      </c>
      <c r="B28" s="27" t="s">
        <v>43</v>
      </c>
      <c r="C28" s="24">
        <v>406</v>
      </c>
      <c r="D28" s="24">
        <f>406-1</f>
        <v>405</v>
      </c>
      <c r="E28" s="24">
        <v>414</v>
      </c>
      <c r="F28" s="24">
        <f>431+1</f>
        <v>432</v>
      </c>
      <c r="G28" s="19">
        <f t="shared" si="0"/>
        <v>414</v>
      </c>
      <c r="H28" s="24">
        <v>437</v>
      </c>
      <c r="I28" s="148">
        <v>469</v>
      </c>
    </row>
    <row r="29" spans="1:9" s="16" customFormat="1" ht="62.4" hidden="1">
      <c r="A29" s="10">
        <v>16</v>
      </c>
      <c r="B29" s="33" t="s">
        <v>122</v>
      </c>
      <c r="C29" s="51">
        <v>127</v>
      </c>
      <c r="D29" s="51">
        <v>127</v>
      </c>
      <c r="E29" s="51">
        <v>127</v>
      </c>
      <c r="F29" s="51">
        <v>127</v>
      </c>
      <c r="G29" s="15">
        <f t="shared" si="0"/>
        <v>127</v>
      </c>
      <c r="H29" s="51">
        <v>127</v>
      </c>
      <c r="I29" s="51">
        <v>127</v>
      </c>
    </row>
    <row r="30" spans="1:9" s="40" customFormat="1" ht="46.8" hidden="1">
      <c r="A30" s="8">
        <v>17</v>
      </c>
      <c r="B30" s="27" t="s">
        <v>44</v>
      </c>
      <c r="C30" s="24">
        <f>317-3</f>
        <v>314</v>
      </c>
      <c r="D30" s="24">
        <f>317-5</f>
        <v>312</v>
      </c>
      <c r="E30" s="24">
        <v>323</v>
      </c>
      <c r="F30" s="24">
        <f>335+3+5</f>
        <v>343</v>
      </c>
      <c r="G30" s="19">
        <f t="shared" si="0"/>
        <v>323</v>
      </c>
      <c r="H30" s="24">
        <v>346</v>
      </c>
      <c r="I30" s="148">
        <v>346</v>
      </c>
    </row>
    <row r="31" spans="1:9" s="16" customFormat="1" ht="62.4" hidden="1">
      <c r="A31" s="10">
        <v>18</v>
      </c>
      <c r="B31" s="33" t="s">
        <v>45</v>
      </c>
      <c r="C31" s="52">
        <f>168-2</f>
        <v>166</v>
      </c>
      <c r="D31" s="52">
        <f>168-3</f>
        <v>165</v>
      </c>
      <c r="E31" s="52">
        <v>168</v>
      </c>
      <c r="F31" s="53">
        <f>168+2+3</f>
        <v>173</v>
      </c>
      <c r="G31" s="15">
        <f t="shared" si="0"/>
        <v>168</v>
      </c>
      <c r="H31" s="54">
        <v>168</v>
      </c>
      <c r="I31" s="52">
        <v>160</v>
      </c>
    </row>
    <row r="32" spans="1:9" s="16" customFormat="1" ht="46.8" hidden="1">
      <c r="A32" s="10">
        <v>19</v>
      </c>
      <c r="B32" s="33" t="s">
        <v>19</v>
      </c>
      <c r="C32" s="13">
        <f>80-1</f>
        <v>79</v>
      </c>
      <c r="D32" s="13">
        <f>80-1</f>
        <v>79</v>
      </c>
      <c r="E32" s="13">
        <v>80</v>
      </c>
      <c r="F32" s="13">
        <f>80+1+1</f>
        <v>82</v>
      </c>
      <c r="G32" s="15">
        <f t="shared" si="0"/>
        <v>80</v>
      </c>
      <c r="H32" s="43">
        <v>80</v>
      </c>
      <c r="I32" s="43">
        <v>80</v>
      </c>
    </row>
    <row r="33" spans="1:9" s="40" customFormat="1" ht="46.8" hidden="1">
      <c r="A33" s="8">
        <v>20</v>
      </c>
      <c r="B33" s="27" t="s">
        <v>46</v>
      </c>
      <c r="C33" s="153">
        <v>207</v>
      </c>
      <c r="D33" s="148">
        <f>207-1</f>
        <v>206</v>
      </c>
      <c r="E33" s="148">
        <v>207</v>
      </c>
      <c r="F33" s="148">
        <f>210+1</f>
        <v>211</v>
      </c>
      <c r="G33" s="19">
        <f t="shared" si="0"/>
        <v>208</v>
      </c>
      <c r="H33" s="153">
        <v>207</v>
      </c>
      <c r="I33" s="153">
        <v>207</v>
      </c>
    </row>
    <row r="34" spans="1:9" s="16" customFormat="1" ht="46.8" hidden="1">
      <c r="A34" s="10">
        <v>21</v>
      </c>
      <c r="B34" s="33" t="s">
        <v>47</v>
      </c>
      <c r="C34" s="35">
        <v>337</v>
      </c>
      <c r="D34" s="35">
        <v>337</v>
      </c>
      <c r="E34" s="13">
        <v>337</v>
      </c>
      <c r="F34" s="35">
        <v>338</v>
      </c>
      <c r="G34" s="15">
        <f t="shared" si="0"/>
        <v>337</v>
      </c>
      <c r="H34" s="35">
        <v>338</v>
      </c>
      <c r="I34" s="50">
        <v>338</v>
      </c>
    </row>
    <row r="35" spans="1:9" s="40" customFormat="1" ht="46.8" hidden="1">
      <c r="A35" s="8">
        <v>22</v>
      </c>
      <c r="B35" s="27" t="s">
        <v>123</v>
      </c>
      <c r="C35" s="24">
        <v>308</v>
      </c>
      <c r="D35" s="24">
        <v>308</v>
      </c>
      <c r="E35" s="24">
        <v>309</v>
      </c>
      <c r="F35" s="24">
        <v>311</v>
      </c>
      <c r="G35" s="19">
        <f t="shared" si="0"/>
        <v>309</v>
      </c>
      <c r="H35" s="24">
        <v>311</v>
      </c>
      <c r="I35" s="148">
        <v>311</v>
      </c>
    </row>
    <row r="36" spans="1:9" s="40" customFormat="1" ht="46.8" hidden="1">
      <c r="A36" s="8">
        <v>23</v>
      </c>
      <c r="B36" s="27" t="s">
        <v>49</v>
      </c>
      <c r="C36" s="24">
        <v>260</v>
      </c>
      <c r="D36" s="24">
        <v>260</v>
      </c>
      <c r="E36" s="24">
        <v>263</v>
      </c>
      <c r="F36" s="24">
        <v>269</v>
      </c>
      <c r="G36" s="19">
        <f t="shared" si="0"/>
        <v>263</v>
      </c>
      <c r="H36" s="24">
        <v>270</v>
      </c>
      <c r="I36" s="148">
        <v>270</v>
      </c>
    </row>
    <row r="37" spans="1:9" s="40" customFormat="1" ht="62.4" hidden="1">
      <c r="A37" s="8">
        <v>24</v>
      </c>
      <c r="B37" s="27" t="s">
        <v>50</v>
      </c>
      <c r="C37" s="24">
        <v>266</v>
      </c>
      <c r="D37" s="24">
        <v>266</v>
      </c>
      <c r="E37" s="24">
        <v>268</v>
      </c>
      <c r="F37" s="24">
        <v>271</v>
      </c>
      <c r="G37" s="19">
        <f t="shared" si="0"/>
        <v>268</v>
      </c>
      <c r="H37" s="24">
        <v>266</v>
      </c>
      <c r="I37" s="148">
        <v>266</v>
      </c>
    </row>
    <row r="38" spans="1:9" s="40" customFormat="1" ht="46.8" hidden="1">
      <c r="A38" s="8">
        <v>25</v>
      </c>
      <c r="B38" s="27" t="s">
        <v>20</v>
      </c>
      <c r="C38" s="157">
        <v>142</v>
      </c>
      <c r="D38" s="157">
        <f>142-1</f>
        <v>141</v>
      </c>
      <c r="E38" s="157">
        <v>141</v>
      </c>
      <c r="F38" s="157">
        <f>140+1</f>
        <v>141</v>
      </c>
      <c r="G38" s="19">
        <f t="shared" si="0"/>
        <v>141</v>
      </c>
      <c r="H38" s="157">
        <v>138</v>
      </c>
      <c r="I38" s="157">
        <v>137</v>
      </c>
    </row>
    <row r="39" spans="1:9" s="40" customFormat="1" ht="46.8" hidden="1">
      <c r="A39" s="8">
        <v>26</v>
      </c>
      <c r="B39" s="27" t="s">
        <v>51</v>
      </c>
      <c r="C39" s="24">
        <v>228</v>
      </c>
      <c r="D39" s="24">
        <f>228-1</f>
        <v>227</v>
      </c>
      <c r="E39" s="24">
        <v>239</v>
      </c>
      <c r="F39" s="24">
        <f>239+1</f>
        <v>240</v>
      </c>
      <c r="G39" s="19">
        <v>233.4</v>
      </c>
      <c r="H39" s="24">
        <v>230</v>
      </c>
      <c r="I39" s="148">
        <v>230</v>
      </c>
    </row>
    <row r="40" spans="1:9" s="40" customFormat="1" ht="62.4" hidden="1">
      <c r="A40" s="8">
        <v>27</v>
      </c>
      <c r="B40" s="27" t="s">
        <v>52</v>
      </c>
      <c r="C40" s="24">
        <f>575+2</f>
        <v>577</v>
      </c>
      <c r="D40" s="24">
        <f>575+2</f>
        <v>577</v>
      </c>
      <c r="E40" s="24">
        <v>582</v>
      </c>
      <c r="F40" s="24">
        <f>595-2-2</f>
        <v>591</v>
      </c>
      <c r="G40" s="19">
        <f>ROUND(SUM(C40:F40)/4,0)</f>
        <v>582</v>
      </c>
      <c r="H40" s="154">
        <v>585</v>
      </c>
      <c r="I40" s="154">
        <v>590</v>
      </c>
    </row>
    <row r="41" spans="1:9" s="40" customFormat="1" ht="62.4" hidden="1">
      <c r="A41" s="8">
        <v>28</v>
      </c>
      <c r="B41" s="27" t="s">
        <v>53</v>
      </c>
      <c r="C41" s="24">
        <v>440</v>
      </c>
      <c r="D41" s="24">
        <v>440</v>
      </c>
      <c r="E41" s="24">
        <v>440</v>
      </c>
      <c r="F41" s="24">
        <v>440</v>
      </c>
      <c r="G41" s="19">
        <f>ROUND(SUM(C41:F41)/4,0)</f>
        <v>440</v>
      </c>
      <c r="H41" s="24">
        <v>440</v>
      </c>
      <c r="I41" s="24">
        <v>440</v>
      </c>
    </row>
    <row r="42" spans="1:9" s="16" customFormat="1" ht="46.8" hidden="1">
      <c r="A42" s="10">
        <v>29</v>
      </c>
      <c r="B42" s="33" t="s">
        <v>124</v>
      </c>
      <c r="C42" s="35">
        <f>50+5</f>
        <v>55</v>
      </c>
      <c r="D42" s="35">
        <f>40+5</f>
        <v>45</v>
      </c>
      <c r="E42" s="35">
        <v>40</v>
      </c>
      <c r="F42" s="35">
        <f>40-5-5</f>
        <v>30</v>
      </c>
      <c r="G42" s="15">
        <v>42.4</v>
      </c>
      <c r="H42" s="35">
        <v>40</v>
      </c>
      <c r="I42" s="50">
        <v>40</v>
      </c>
    </row>
    <row r="43" spans="1:9" s="40" customFormat="1" ht="46.8" hidden="1">
      <c r="A43" s="8">
        <v>30</v>
      </c>
      <c r="B43" s="27" t="s">
        <v>125</v>
      </c>
      <c r="C43" s="24">
        <v>174</v>
      </c>
      <c r="D43" s="24">
        <f>174+1</f>
        <v>175</v>
      </c>
      <c r="E43" s="24">
        <v>171</v>
      </c>
      <c r="F43" s="24">
        <f>174-1</f>
        <v>173</v>
      </c>
      <c r="G43" s="19">
        <f t="shared" ref="G43:G51" si="1">ROUND(SUM(C43:F43)/4,0)</f>
        <v>173</v>
      </c>
      <c r="H43" s="24">
        <v>172</v>
      </c>
      <c r="I43" s="148">
        <v>172</v>
      </c>
    </row>
    <row r="44" spans="1:9" s="40" customFormat="1" ht="46.8" hidden="1">
      <c r="A44" s="8">
        <v>31</v>
      </c>
      <c r="B44" s="27" t="s">
        <v>126</v>
      </c>
      <c r="C44" s="24">
        <f>451+1</f>
        <v>452</v>
      </c>
      <c r="D44" s="24">
        <v>451</v>
      </c>
      <c r="E44" s="24">
        <v>474</v>
      </c>
      <c r="F44" s="24">
        <f>474-1</f>
        <v>473</v>
      </c>
      <c r="G44" s="19">
        <f t="shared" si="1"/>
        <v>463</v>
      </c>
      <c r="H44" s="24">
        <v>500</v>
      </c>
      <c r="I44" s="55">
        <v>475</v>
      </c>
    </row>
    <row r="45" spans="1:9" s="40" customFormat="1" ht="46.8" hidden="1">
      <c r="A45" s="8">
        <v>32</v>
      </c>
      <c r="B45" s="27" t="s">
        <v>56</v>
      </c>
      <c r="C45" s="24">
        <v>226</v>
      </c>
      <c r="D45" s="24">
        <v>226</v>
      </c>
      <c r="E45" s="24">
        <v>238</v>
      </c>
      <c r="F45" s="24">
        <v>238</v>
      </c>
      <c r="G45" s="19">
        <f t="shared" si="1"/>
        <v>232</v>
      </c>
      <c r="H45" s="24">
        <v>230</v>
      </c>
      <c r="I45" s="148">
        <v>230</v>
      </c>
    </row>
    <row r="46" spans="1:9" s="40" customFormat="1" ht="62.4" hidden="1">
      <c r="A46" s="8">
        <v>33</v>
      </c>
      <c r="B46" s="27" t="s">
        <v>127</v>
      </c>
      <c r="C46" s="24">
        <f>246+1</f>
        <v>247</v>
      </c>
      <c r="D46" s="24">
        <f>246+1</f>
        <v>247</v>
      </c>
      <c r="E46" s="24">
        <v>250</v>
      </c>
      <c r="F46" s="24">
        <f>258-1-1</f>
        <v>256</v>
      </c>
      <c r="G46" s="19">
        <f t="shared" si="1"/>
        <v>250</v>
      </c>
      <c r="H46" s="24">
        <v>271</v>
      </c>
      <c r="I46" s="148">
        <v>278</v>
      </c>
    </row>
    <row r="47" spans="1:9" s="40" customFormat="1" ht="62.4" hidden="1">
      <c r="A47" s="8">
        <v>34</v>
      </c>
      <c r="B47" s="27" t="s">
        <v>58</v>
      </c>
      <c r="C47" s="152">
        <f>260-2</f>
        <v>258</v>
      </c>
      <c r="D47" s="152">
        <f>260-2</f>
        <v>258</v>
      </c>
      <c r="E47" s="152">
        <v>266</v>
      </c>
      <c r="F47" s="152">
        <f>279+2+2</f>
        <v>283</v>
      </c>
      <c r="G47" s="19">
        <f t="shared" si="1"/>
        <v>266</v>
      </c>
      <c r="H47" s="152">
        <v>280</v>
      </c>
      <c r="I47" s="152">
        <v>280</v>
      </c>
    </row>
    <row r="48" spans="1:9" s="40" customFormat="1" ht="46.8" hidden="1">
      <c r="A48" s="8">
        <v>35</v>
      </c>
      <c r="B48" s="27" t="s">
        <v>59</v>
      </c>
      <c r="C48" s="24">
        <f>269-1</f>
        <v>268</v>
      </c>
      <c r="D48" s="24">
        <v>269</v>
      </c>
      <c r="E48" s="24">
        <v>272</v>
      </c>
      <c r="F48" s="24">
        <f>277+1</f>
        <v>278</v>
      </c>
      <c r="G48" s="19">
        <f t="shared" si="1"/>
        <v>272</v>
      </c>
      <c r="H48" s="24">
        <v>270</v>
      </c>
      <c r="I48" s="148">
        <v>268</v>
      </c>
    </row>
    <row r="49" spans="1:9" s="40" customFormat="1" ht="62.4" hidden="1">
      <c r="A49" s="8">
        <v>36</v>
      </c>
      <c r="B49" s="27" t="s">
        <v>60</v>
      </c>
      <c r="C49" s="24">
        <v>281</v>
      </c>
      <c r="D49" s="24">
        <v>281</v>
      </c>
      <c r="E49" s="24">
        <v>284</v>
      </c>
      <c r="F49" s="24">
        <v>290</v>
      </c>
      <c r="G49" s="19">
        <f t="shared" si="1"/>
        <v>284</v>
      </c>
      <c r="H49" s="24">
        <v>284</v>
      </c>
      <c r="I49" s="148">
        <v>284</v>
      </c>
    </row>
    <row r="50" spans="1:9" s="40" customFormat="1" ht="46.8" hidden="1">
      <c r="A50" s="8">
        <v>37</v>
      </c>
      <c r="B50" s="27" t="s">
        <v>61</v>
      </c>
      <c r="C50" s="24">
        <v>318</v>
      </c>
      <c r="D50" s="24">
        <v>318</v>
      </c>
      <c r="E50" s="24">
        <v>319</v>
      </c>
      <c r="F50" s="24">
        <v>320</v>
      </c>
      <c r="G50" s="19">
        <f t="shared" si="1"/>
        <v>319</v>
      </c>
      <c r="H50" s="154">
        <v>319</v>
      </c>
      <c r="I50" s="154">
        <v>319</v>
      </c>
    </row>
    <row r="51" spans="1:9" s="40" customFormat="1" ht="46.8" hidden="1">
      <c r="A51" s="8">
        <v>38</v>
      </c>
      <c r="B51" s="27" t="s">
        <v>62</v>
      </c>
      <c r="C51" s="24">
        <f>487-1</f>
        <v>486</v>
      </c>
      <c r="D51" s="24">
        <f>487-1</f>
        <v>486</v>
      </c>
      <c r="E51" s="24">
        <v>490</v>
      </c>
      <c r="F51" s="24">
        <f>496+1+1</f>
        <v>498</v>
      </c>
      <c r="G51" s="19">
        <f t="shared" si="1"/>
        <v>490</v>
      </c>
      <c r="H51" s="21">
        <v>490</v>
      </c>
      <c r="I51" s="21">
        <v>490</v>
      </c>
    </row>
    <row r="52" spans="1:9" s="16" customFormat="1" ht="46.8" hidden="1">
      <c r="A52" s="10">
        <v>39</v>
      </c>
      <c r="B52" s="33" t="s">
        <v>128</v>
      </c>
      <c r="C52" s="35">
        <v>274</v>
      </c>
      <c r="D52" s="35">
        <v>274</v>
      </c>
      <c r="E52" s="35">
        <v>284</v>
      </c>
      <c r="F52" s="35">
        <v>302</v>
      </c>
      <c r="G52" s="15">
        <v>283.39999999999998</v>
      </c>
      <c r="H52" s="35">
        <v>312</v>
      </c>
      <c r="I52" s="50">
        <v>327</v>
      </c>
    </row>
    <row r="53" spans="1:9" s="40" customFormat="1" ht="46.8" hidden="1">
      <c r="A53" s="8">
        <v>40</v>
      </c>
      <c r="B53" s="27" t="s">
        <v>63</v>
      </c>
      <c r="C53" s="24">
        <f>223+1</f>
        <v>224</v>
      </c>
      <c r="D53" s="24">
        <f>223+2</f>
        <v>225</v>
      </c>
      <c r="E53" s="24">
        <v>227</v>
      </c>
      <c r="F53" s="24">
        <f>236-1-2</f>
        <v>233</v>
      </c>
      <c r="G53" s="19">
        <f t="shared" ref="G53:G61" si="2">ROUND(SUM(C53:F53)/4,0)</f>
        <v>227</v>
      </c>
      <c r="H53" s="24">
        <v>236</v>
      </c>
      <c r="I53" s="148">
        <v>221</v>
      </c>
    </row>
    <row r="54" spans="1:9" s="16" customFormat="1" ht="46.8" hidden="1">
      <c r="A54" s="10">
        <v>41</v>
      </c>
      <c r="B54" s="33" t="s">
        <v>21</v>
      </c>
      <c r="C54" s="43">
        <f>58-1</f>
        <v>57</v>
      </c>
      <c r="D54" s="43">
        <f>58-1</f>
        <v>57</v>
      </c>
      <c r="E54" s="43">
        <v>57</v>
      </c>
      <c r="F54" s="43">
        <f>55+1+1</f>
        <v>57</v>
      </c>
      <c r="G54" s="15">
        <f t="shared" si="2"/>
        <v>57</v>
      </c>
      <c r="H54" s="43">
        <v>55</v>
      </c>
      <c r="I54" s="43">
        <v>55</v>
      </c>
    </row>
    <row r="55" spans="1:9" s="40" customFormat="1" ht="62.4" hidden="1">
      <c r="A55" s="8">
        <v>42</v>
      </c>
      <c r="B55" s="27" t="s">
        <v>64</v>
      </c>
      <c r="C55" s="24">
        <v>228</v>
      </c>
      <c r="D55" s="24">
        <f>228</f>
        <v>228</v>
      </c>
      <c r="E55" s="24">
        <v>224</v>
      </c>
      <c r="F55" s="24">
        <f>217</f>
        <v>217</v>
      </c>
      <c r="G55" s="19">
        <f t="shared" si="2"/>
        <v>224</v>
      </c>
      <c r="H55" s="24">
        <v>219</v>
      </c>
      <c r="I55" s="148">
        <v>230</v>
      </c>
    </row>
    <row r="56" spans="1:9" s="40" customFormat="1" ht="62.4" hidden="1">
      <c r="A56" s="8">
        <v>43</v>
      </c>
      <c r="B56" s="27" t="s">
        <v>65</v>
      </c>
      <c r="C56" s="24">
        <f>232-3</f>
        <v>229</v>
      </c>
      <c r="D56" s="24">
        <f>232-4</f>
        <v>228</v>
      </c>
      <c r="E56" s="24">
        <v>235</v>
      </c>
      <c r="F56" s="24">
        <f>241+3+4</f>
        <v>248</v>
      </c>
      <c r="G56" s="19">
        <f t="shared" si="2"/>
        <v>235</v>
      </c>
      <c r="H56" s="24">
        <v>235</v>
      </c>
      <c r="I56" s="24">
        <v>235</v>
      </c>
    </row>
    <row r="57" spans="1:9" s="40" customFormat="1" ht="46.8" hidden="1">
      <c r="A57" s="8">
        <v>44</v>
      </c>
      <c r="B57" s="27" t="s">
        <v>66</v>
      </c>
      <c r="C57" s="24">
        <f>249-1</f>
        <v>248</v>
      </c>
      <c r="D57" s="24">
        <f>249-2</f>
        <v>247</v>
      </c>
      <c r="E57" s="24">
        <v>257</v>
      </c>
      <c r="F57" s="24">
        <f>272+1+2</f>
        <v>275</v>
      </c>
      <c r="G57" s="19">
        <f t="shared" si="2"/>
        <v>257</v>
      </c>
      <c r="H57" s="24">
        <v>273</v>
      </c>
      <c r="I57" s="55">
        <v>274</v>
      </c>
    </row>
    <row r="58" spans="1:9" s="40" customFormat="1" ht="62.4" hidden="1">
      <c r="A58" s="8">
        <v>45</v>
      </c>
      <c r="B58" s="27" t="s">
        <v>67</v>
      </c>
      <c r="C58" s="24">
        <f>254+1</f>
        <v>255</v>
      </c>
      <c r="D58" s="24">
        <v>254</v>
      </c>
      <c r="E58" s="24">
        <v>260</v>
      </c>
      <c r="F58" s="24">
        <f>256-1</f>
        <v>255</v>
      </c>
      <c r="G58" s="19">
        <f t="shared" si="2"/>
        <v>256</v>
      </c>
      <c r="H58" s="24">
        <v>280</v>
      </c>
      <c r="I58" s="148">
        <v>266</v>
      </c>
    </row>
    <row r="59" spans="1:9" s="40" customFormat="1" ht="63" hidden="1" customHeight="1">
      <c r="A59" s="8">
        <v>46</v>
      </c>
      <c r="B59" s="27" t="s">
        <v>68</v>
      </c>
      <c r="C59" s="24">
        <v>297</v>
      </c>
      <c r="D59" s="24">
        <v>297</v>
      </c>
      <c r="E59" s="24">
        <v>299</v>
      </c>
      <c r="F59" s="24">
        <v>304</v>
      </c>
      <c r="G59" s="19">
        <f t="shared" si="2"/>
        <v>299</v>
      </c>
      <c r="H59" s="24">
        <v>300</v>
      </c>
      <c r="I59" s="148">
        <v>300</v>
      </c>
    </row>
    <row r="60" spans="1:9" s="40" customFormat="1" ht="63" hidden="1" customHeight="1">
      <c r="A60" s="8">
        <v>47</v>
      </c>
      <c r="B60" s="27" t="s">
        <v>22</v>
      </c>
      <c r="C60" s="155">
        <f>351-3-1</f>
        <v>347</v>
      </c>
      <c r="D60" s="155">
        <f>351-4</f>
        <v>347</v>
      </c>
      <c r="E60" s="155">
        <v>353</v>
      </c>
      <c r="F60" s="155">
        <f>358+3+1+4</f>
        <v>366</v>
      </c>
      <c r="G60" s="19">
        <f t="shared" si="2"/>
        <v>353</v>
      </c>
      <c r="H60" s="155">
        <v>358</v>
      </c>
      <c r="I60" s="156">
        <v>358</v>
      </c>
    </row>
    <row r="61" spans="1:9" s="40" customFormat="1" ht="99" hidden="1" customHeight="1">
      <c r="A61" s="8">
        <v>48</v>
      </c>
      <c r="B61" s="27" t="s">
        <v>69</v>
      </c>
      <c r="C61" s="24">
        <f>375-1</f>
        <v>374</v>
      </c>
      <c r="D61" s="24">
        <v>375</v>
      </c>
      <c r="E61" s="24">
        <v>388</v>
      </c>
      <c r="F61" s="24">
        <f>410+1</f>
        <v>411</v>
      </c>
      <c r="G61" s="19">
        <f t="shared" si="2"/>
        <v>387</v>
      </c>
      <c r="H61" s="24">
        <v>422</v>
      </c>
      <c r="I61" s="55">
        <v>380</v>
      </c>
    </row>
    <row r="62" spans="1:9" s="40" customFormat="1" ht="62.4" hidden="1">
      <c r="A62" s="8">
        <v>49</v>
      </c>
      <c r="B62" s="27" t="s">
        <v>70</v>
      </c>
      <c r="C62" s="24">
        <v>334</v>
      </c>
      <c r="D62" s="24">
        <f>334-1</f>
        <v>333</v>
      </c>
      <c r="E62" s="24">
        <v>327</v>
      </c>
      <c r="F62" s="24">
        <f>315+1</f>
        <v>316</v>
      </c>
      <c r="G62" s="19">
        <v>327.39999999999998</v>
      </c>
      <c r="H62" s="24">
        <v>315</v>
      </c>
      <c r="I62" s="55">
        <v>330</v>
      </c>
    </row>
    <row r="63" spans="1:9" s="16" customFormat="1" ht="46.8" hidden="1">
      <c r="A63" s="10">
        <v>50</v>
      </c>
      <c r="B63" s="33" t="s">
        <v>71</v>
      </c>
      <c r="C63" s="35">
        <f>589-1</f>
        <v>588</v>
      </c>
      <c r="D63" s="35">
        <f>589-2</f>
        <v>587</v>
      </c>
      <c r="E63" s="13">
        <v>588</v>
      </c>
      <c r="F63" s="35">
        <f>587+1+2</f>
        <v>590</v>
      </c>
      <c r="G63" s="15">
        <f>ROUND(SUM(C63:F63)/4,0)</f>
        <v>588</v>
      </c>
      <c r="H63" s="35">
        <v>613</v>
      </c>
      <c r="I63" s="50">
        <v>604</v>
      </c>
    </row>
    <row r="64" spans="1:9" s="16" customFormat="1" ht="46.8" hidden="1">
      <c r="A64" s="10">
        <v>51</v>
      </c>
      <c r="B64" s="33" t="s">
        <v>129</v>
      </c>
      <c r="C64" s="35">
        <v>372</v>
      </c>
      <c r="D64" s="35">
        <v>372</v>
      </c>
      <c r="E64" s="35">
        <v>374</v>
      </c>
      <c r="F64" s="35">
        <v>378</v>
      </c>
      <c r="G64" s="15">
        <f>ROUND(SUM(C64:F64)/4,0)</f>
        <v>374</v>
      </c>
      <c r="H64" s="35">
        <v>374</v>
      </c>
      <c r="I64" s="35">
        <v>374</v>
      </c>
    </row>
    <row r="65" spans="1:9" s="16" customFormat="1" ht="46.8" hidden="1">
      <c r="A65" s="10">
        <v>52</v>
      </c>
      <c r="B65" s="33" t="s">
        <v>130</v>
      </c>
      <c r="C65" s="35">
        <f>14+2</f>
        <v>16</v>
      </c>
      <c r="D65" s="35">
        <f>14+4</f>
        <v>18</v>
      </c>
      <c r="E65" s="35">
        <v>14</v>
      </c>
      <c r="F65" s="35">
        <f>14-2-4</f>
        <v>8</v>
      </c>
      <c r="G65" s="15">
        <f>ROUND(SUM(C65:F65)/4,0)</f>
        <v>14</v>
      </c>
      <c r="H65" s="35">
        <v>9</v>
      </c>
      <c r="I65" s="35">
        <v>9</v>
      </c>
    </row>
    <row r="66" spans="1:9" s="40" customFormat="1" ht="62.4" hidden="1">
      <c r="A66" s="8">
        <v>53</v>
      </c>
      <c r="B66" s="27" t="s">
        <v>73</v>
      </c>
      <c r="C66" s="24">
        <f>297-3</f>
        <v>294</v>
      </c>
      <c r="D66" s="24">
        <f>297-3</f>
        <v>294</v>
      </c>
      <c r="E66" s="24">
        <v>296</v>
      </c>
      <c r="F66" s="24">
        <f>294+3+3</f>
        <v>300</v>
      </c>
      <c r="G66" s="19">
        <f>ROUND(SUM(C66:F66)/4,0)</f>
        <v>296</v>
      </c>
      <c r="H66" s="24">
        <v>296</v>
      </c>
      <c r="I66" s="148">
        <v>296</v>
      </c>
    </row>
    <row r="67" spans="1:9" s="16" customFormat="1" ht="46.8" hidden="1">
      <c r="A67" s="10">
        <v>54</v>
      </c>
      <c r="B67" s="33" t="s">
        <v>131</v>
      </c>
      <c r="C67" s="35">
        <v>14</v>
      </c>
      <c r="D67" s="35">
        <v>14</v>
      </c>
      <c r="E67" s="35">
        <v>14</v>
      </c>
      <c r="F67" s="35">
        <v>14</v>
      </c>
      <c r="G67" s="15">
        <f>ROUND(SUM(C67:F67)/4,0)</f>
        <v>14</v>
      </c>
      <c r="H67" s="35">
        <v>25</v>
      </c>
      <c r="I67" s="35">
        <v>25</v>
      </c>
    </row>
    <row r="68" spans="1:9" s="16" customFormat="1" ht="46.8" hidden="1">
      <c r="A68" s="10">
        <v>55</v>
      </c>
      <c r="B68" s="33" t="s">
        <v>74</v>
      </c>
      <c r="C68" s="35">
        <v>269</v>
      </c>
      <c r="D68" s="35">
        <v>269</v>
      </c>
      <c r="E68" s="35">
        <v>270</v>
      </c>
      <c r="F68" s="35">
        <v>270</v>
      </c>
      <c r="G68" s="15">
        <v>269.39999999999998</v>
      </c>
      <c r="H68" s="35">
        <v>270</v>
      </c>
      <c r="I68" s="35">
        <v>295</v>
      </c>
    </row>
    <row r="69" spans="1:9" s="16" customFormat="1" ht="62.4" hidden="1">
      <c r="A69" s="10">
        <v>56</v>
      </c>
      <c r="B69" s="33" t="s">
        <v>75</v>
      </c>
      <c r="C69" s="35">
        <f>370-2</f>
        <v>368</v>
      </c>
      <c r="D69" s="35">
        <f>370-2</f>
        <v>368</v>
      </c>
      <c r="E69" s="35">
        <v>370</v>
      </c>
      <c r="F69" s="35">
        <f>370+2+2</f>
        <v>374</v>
      </c>
      <c r="G69" s="15">
        <f>ROUND(SUM(C69:F69)/4,0)</f>
        <v>370</v>
      </c>
      <c r="H69" s="35">
        <v>370</v>
      </c>
      <c r="I69" s="35">
        <v>370</v>
      </c>
    </row>
    <row r="70" spans="1:9" s="16" customFormat="1" ht="46.8" hidden="1">
      <c r="A70" s="10">
        <v>57</v>
      </c>
      <c r="B70" s="33" t="s">
        <v>132</v>
      </c>
      <c r="C70" s="35">
        <f>543+4</f>
        <v>547</v>
      </c>
      <c r="D70" s="35">
        <f>543+4</f>
        <v>547</v>
      </c>
      <c r="E70" s="35">
        <v>554</v>
      </c>
      <c r="F70" s="35">
        <f>575-4-4</f>
        <v>567</v>
      </c>
      <c r="G70" s="15">
        <f>ROUND(SUM(C70:F70)/4,0)</f>
        <v>554</v>
      </c>
      <c r="H70" s="35">
        <v>590</v>
      </c>
      <c r="I70" s="50">
        <v>590</v>
      </c>
    </row>
    <row r="71" spans="1:9" s="16" customFormat="1" ht="46.8" hidden="1">
      <c r="A71" s="10">
        <v>58</v>
      </c>
      <c r="B71" s="33" t="s">
        <v>76</v>
      </c>
      <c r="C71" s="35">
        <v>438</v>
      </c>
      <c r="D71" s="35">
        <v>438</v>
      </c>
      <c r="E71" s="35">
        <v>432</v>
      </c>
      <c r="F71" s="35">
        <v>419</v>
      </c>
      <c r="G71" s="15">
        <f>ROUND(SUM(C71:F71)/4,0)</f>
        <v>432</v>
      </c>
      <c r="H71" s="35">
        <v>419</v>
      </c>
      <c r="I71" s="50">
        <v>419</v>
      </c>
    </row>
    <row r="72" spans="1:9" s="40" customFormat="1" ht="46.8" hidden="1">
      <c r="A72" s="8">
        <v>59</v>
      </c>
      <c r="B72" s="27" t="s">
        <v>77</v>
      </c>
      <c r="C72" s="24">
        <v>333</v>
      </c>
      <c r="D72" s="24">
        <v>333</v>
      </c>
      <c r="E72" s="24">
        <v>333</v>
      </c>
      <c r="F72" s="24">
        <v>333</v>
      </c>
      <c r="G72" s="19">
        <f>ROUND(SUM(C72:F72)/4,0)</f>
        <v>333</v>
      </c>
      <c r="H72" s="24">
        <v>341</v>
      </c>
      <c r="I72" s="55">
        <v>357</v>
      </c>
    </row>
    <row r="73" spans="1:9" s="40" customFormat="1" ht="46.8" hidden="1">
      <c r="A73" s="8">
        <v>60</v>
      </c>
      <c r="B73" s="27" t="s">
        <v>78</v>
      </c>
      <c r="C73" s="24">
        <v>113</v>
      </c>
      <c r="D73" s="24">
        <v>113</v>
      </c>
      <c r="E73" s="24">
        <v>115</v>
      </c>
      <c r="F73" s="24">
        <v>115</v>
      </c>
      <c r="G73" s="19">
        <f>ROUND(SUM(C73:F73)/4,0)</f>
        <v>114</v>
      </c>
      <c r="H73" s="24">
        <v>115</v>
      </c>
      <c r="I73" s="24">
        <v>115</v>
      </c>
    </row>
    <row r="74" spans="1:9" s="40" customFormat="1" ht="62.4" hidden="1">
      <c r="A74" s="8">
        <v>61</v>
      </c>
      <c r="B74" s="18" t="s">
        <v>133</v>
      </c>
      <c r="C74" s="150">
        <v>42</v>
      </c>
      <c r="D74" s="150">
        <f>42-1</f>
        <v>41</v>
      </c>
      <c r="E74" s="150">
        <v>42</v>
      </c>
      <c r="F74" s="150">
        <f>32+1</f>
        <v>33</v>
      </c>
      <c r="G74" s="19">
        <v>39.4</v>
      </c>
      <c r="H74" s="150">
        <v>32</v>
      </c>
      <c r="I74" s="150">
        <v>25</v>
      </c>
    </row>
    <row r="75" spans="1:9" s="16" customFormat="1" ht="46.8" hidden="1">
      <c r="A75" s="10">
        <v>62</v>
      </c>
      <c r="B75" s="17" t="s">
        <v>24</v>
      </c>
      <c r="C75" s="56">
        <v>48</v>
      </c>
      <c r="D75" s="56">
        <v>48</v>
      </c>
      <c r="E75" s="56">
        <v>48</v>
      </c>
      <c r="F75" s="56">
        <v>49</v>
      </c>
      <c r="G75" s="15">
        <f t="shared" ref="G75:G88" si="3">ROUND(SUM(C75:F75)/4,0)</f>
        <v>48</v>
      </c>
      <c r="H75" s="56">
        <v>48</v>
      </c>
      <c r="I75" s="56">
        <v>48</v>
      </c>
    </row>
    <row r="76" spans="1:9" s="40" customFormat="1" ht="46.8" hidden="1">
      <c r="A76" s="8">
        <v>63</v>
      </c>
      <c r="B76" s="18" t="s">
        <v>25</v>
      </c>
      <c r="C76" s="150">
        <f>38-1</f>
        <v>37</v>
      </c>
      <c r="D76" s="150">
        <v>38</v>
      </c>
      <c r="E76" s="150">
        <v>40</v>
      </c>
      <c r="F76" s="150">
        <f>40+1</f>
        <v>41</v>
      </c>
      <c r="G76" s="19">
        <f t="shared" si="3"/>
        <v>39</v>
      </c>
      <c r="H76" s="150">
        <v>31</v>
      </c>
      <c r="I76" s="150">
        <v>30</v>
      </c>
    </row>
    <row r="77" spans="1:9" s="40" customFormat="1" ht="62.4" hidden="1">
      <c r="A77" s="8">
        <v>64</v>
      </c>
      <c r="B77" s="27" t="s">
        <v>80</v>
      </c>
      <c r="C77" s="21">
        <v>32</v>
      </c>
      <c r="D77" s="21">
        <v>32</v>
      </c>
      <c r="E77" s="21">
        <v>29</v>
      </c>
      <c r="F77" s="21">
        <v>29</v>
      </c>
      <c r="G77" s="19">
        <f t="shared" si="3"/>
        <v>31</v>
      </c>
      <c r="H77" s="21">
        <v>28</v>
      </c>
      <c r="I77" s="147">
        <v>28</v>
      </c>
    </row>
    <row r="78" spans="1:9" s="40" customFormat="1" ht="78" hidden="1">
      <c r="A78" s="8">
        <v>65</v>
      </c>
      <c r="B78" s="27" t="s">
        <v>81</v>
      </c>
      <c r="C78" s="21">
        <v>44</v>
      </c>
      <c r="D78" s="21">
        <v>44</v>
      </c>
      <c r="E78" s="21">
        <v>43</v>
      </c>
      <c r="F78" s="21">
        <v>40</v>
      </c>
      <c r="G78" s="19">
        <f t="shared" si="3"/>
        <v>43</v>
      </c>
      <c r="H78" s="21">
        <v>41</v>
      </c>
      <c r="I78" s="147">
        <v>39</v>
      </c>
    </row>
    <row r="79" spans="1:9" s="40" customFormat="1" ht="62.4" hidden="1">
      <c r="A79" s="8">
        <v>66</v>
      </c>
      <c r="B79" s="27" t="s">
        <v>82</v>
      </c>
      <c r="C79" s="21">
        <v>73</v>
      </c>
      <c r="D79" s="21">
        <f>73+1</f>
        <v>74</v>
      </c>
      <c r="E79" s="21">
        <v>73</v>
      </c>
      <c r="F79" s="21">
        <f>73-1</f>
        <v>72</v>
      </c>
      <c r="G79" s="19">
        <f t="shared" si="3"/>
        <v>73</v>
      </c>
      <c r="H79" s="21">
        <v>73</v>
      </c>
      <c r="I79" s="147">
        <v>73</v>
      </c>
    </row>
    <row r="80" spans="1:9" s="40" customFormat="1" ht="78" hidden="1">
      <c r="A80" s="8">
        <v>67</v>
      </c>
      <c r="B80" s="27" t="s">
        <v>83</v>
      </c>
      <c r="C80" s="21">
        <v>65</v>
      </c>
      <c r="D80" s="21">
        <v>65</v>
      </c>
      <c r="E80" s="21">
        <v>65</v>
      </c>
      <c r="F80" s="21">
        <v>65</v>
      </c>
      <c r="G80" s="19">
        <f t="shared" si="3"/>
        <v>65</v>
      </c>
      <c r="H80" s="21">
        <v>65</v>
      </c>
      <c r="I80" s="147">
        <v>65</v>
      </c>
    </row>
    <row r="81" spans="1:9" s="40" customFormat="1" ht="62.4" hidden="1">
      <c r="A81" s="8">
        <v>68</v>
      </c>
      <c r="B81" s="27" t="s">
        <v>84</v>
      </c>
      <c r="C81" s="21">
        <f>61+2</f>
        <v>63</v>
      </c>
      <c r="D81" s="21">
        <f>61+3</f>
        <v>64</v>
      </c>
      <c r="E81" s="21">
        <v>61</v>
      </c>
      <c r="F81" s="21">
        <f>63-2-3</f>
        <v>58</v>
      </c>
      <c r="G81" s="19">
        <f t="shared" si="3"/>
        <v>62</v>
      </c>
      <c r="H81" s="21">
        <v>63</v>
      </c>
      <c r="I81" s="21">
        <v>63</v>
      </c>
    </row>
    <row r="82" spans="1:9" s="16" customFormat="1" ht="78" hidden="1">
      <c r="A82" s="10">
        <v>69</v>
      </c>
      <c r="B82" s="33" t="s">
        <v>85</v>
      </c>
      <c r="C82" s="37">
        <v>60</v>
      </c>
      <c r="D82" s="37">
        <v>60</v>
      </c>
      <c r="E82" s="15">
        <v>60</v>
      </c>
      <c r="F82" s="37">
        <v>60</v>
      </c>
      <c r="G82" s="15">
        <f t="shared" si="3"/>
        <v>60</v>
      </c>
      <c r="H82" s="37">
        <v>60</v>
      </c>
      <c r="I82" s="37">
        <v>60</v>
      </c>
    </row>
    <row r="83" spans="1:9" s="16" customFormat="1" ht="93.6" hidden="1">
      <c r="A83" s="10">
        <v>70</v>
      </c>
      <c r="B83" s="33" t="s">
        <v>86</v>
      </c>
      <c r="C83" s="37">
        <v>40</v>
      </c>
      <c r="D83" s="37">
        <v>40</v>
      </c>
      <c r="E83" s="15">
        <v>41</v>
      </c>
      <c r="F83" s="37">
        <v>42</v>
      </c>
      <c r="G83" s="15">
        <f t="shared" si="3"/>
        <v>41</v>
      </c>
      <c r="H83" s="37">
        <v>42</v>
      </c>
      <c r="I83" s="37">
        <v>42</v>
      </c>
    </row>
    <row r="84" spans="1:9" s="40" customFormat="1" ht="62.4" hidden="1">
      <c r="A84" s="8">
        <v>71</v>
      </c>
      <c r="B84" s="27" t="s">
        <v>87</v>
      </c>
      <c r="C84" s="21">
        <v>48</v>
      </c>
      <c r="D84" s="21">
        <f>48+1</f>
        <v>49</v>
      </c>
      <c r="E84" s="21">
        <v>48</v>
      </c>
      <c r="F84" s="21">
        <f>48-1</f>
        <v>47</v>
      </c>
      <c r="G84" s="19">
        <f t="shared" si="3"/>
        <v>48</v>
      </c>
      <c r="H84" s="21">
        <v>48</v>
      </c>
      <c r="I84" s="147">
        <v>48</v>
      </c>
    </row>
    <row r="85" spans="1:9" s="40" customFormat="1" ht="62.4" hidden="1">
      <c r="A85" s="8">
        <v>72</v>
      </c>
      <c r="B85" s="27" t="s">
        <v>88</v>
      </c>
      <c r="C85" s="21">
        <v>152</v>
      </c>
      <c r="D85" s="21">
        <v>152</v>
      </c>
      <c r="E85" s="21">
        <v>120</v>
      </c>
      <c r="F85" s="21">
        <v>152</v>
      </c>
      <c r="G85" s="19">
        <f t="shared" si="3"/>
        <v>144</v>
      </c>
      <c r="H85" s="21">
        <v>152</v>
      </c>
      <c r="I85" s="21">
        <v>152</v>
      </c>
    </row>
    <row r="86" spans="1:9" s="16" customFormat="1" ht="93.6" hidden="1">
      <c r="A86" s="10">
        <v>73</v>
      </c>
      <c r="B86" s="33" t="s">
        <v>89</v>
      </c>
      <c r="C86" s="57">
        <f>62-2</f>
        <v>60</v>
      </c>
      <c r="D86" s="57">
        <f>62-1</f>
        <v>61</v>
      </c>
      <c r="E86" s="57">
        <v>55</v>
      </c>
      <c r="F86" s="57">
        <f>55+2+1</f>
        <v>58</v>
      </c>
      <c r="G86" s="15">
        <f t="shared" si="3"/>
        <v>59</v>
      </c>
      <c r="H86" s="37">
        <v>60</v>
      </c>
      <c r="I86" s="37">
        <v>60</v>
      </c>
    </row>
    <row r="87" spans="1:9" s="40" customFormat="1" ht="62.4" hidden="1">
      <c r="A87" s="8">
        <v>74</v>
      </c>
      <c r="B87" s="27" t="s">
        <v>90</v>
      </c>
      <c r="C87" s="21">
        <f>63+2</f>
        <v>65</v>
      </c>
      <c r="D87" s="21">
        <f>63+2</f>
        <v>65</v>
      </c>
      <c r="E87" s="21">
        <v>67</v>
      </c>
      <c r="F87" s="21">
        <f>67-2-2</f>
        <v>63</v>
      </c>
      <c r="G87" s="19">
        <f t="shared" si="3"/>
        <v>65</v>
      </c>
      <c r="H87" s="21">
        <v>64</v>
      </c>
      <c r="I87" s="147">
        <v>64</v>
      </c>
    </row>
    <row r="88" spans="1:9" s="40" customFormat="1" ht="62.4" hidden="1">
      <c r="A88" s="8">
        <v>75</v>
      </c>
      <c r="B88" s="27" t="s">
        <v>91</v>
      </c>
      <c r="C88" s="21">
        <v>63</v>
      </c>
      <c r="D88" s="21">
        <v>63</v>
      </c>
      <c r="E88" s="21">
        <v>63</v>
      </c>
      <c r="F88" s="21">
        <v>61</v>
      </c>
      <c r="G88" s="19">
        <f t="shared" si="3"/>
        <v>63</v>
      </c>
      <c r="H88" s="21">
        <v>61</v>
      </c>
      <c r="I88" s="147">
        <v>61</v>
      </c>
    </row>
    <row r="89" spans="1:9" s="40" customFormat="1" ht="62.4" hidden="1">
      <c r="A89" s="8">
        <v>76</v>
      </c>
      <c r="B89" s="27" t="s">
        <v>92</v>
      </c>
      <c r="C89" s="21">
        <v>85</v>
      </c>
      <c r="D89" s="21">
        <v>85</v>
      </c>
      <c r="E89" s="21">
        <v>80</v>
      </c>
      <c r="F89" s="21">
        <v>80</v>
      </c>
      <c r="G89" s="19">
        <v>82.4</v>
      </c>
      <c r="H89" s="21">
        <v>80</v>
      </c>
      <c r="I89" s="147">
        <v>80</v>
      </c>
    </row>
    <row r="90" spans="1:9" s="40" customFormat="1" ht="62.4" hidden="1">
      <c r="A90" s="8">
        <v>77</v>
      </c>
      <c r="B90" s="27" t="s">
        <v>93</v>
      </c>
      <c r="C90" s="21">
        <f>133+1</f>
        <v>134</v>
      </c>
      <c r="D90" s="21">
        <v>133</v>
      </c>
      <c r="E90" s="21">
        <v>136</v>
      </c>
      <c r="F90" s="21">
        <f>141-1</f>
        <v>140</v>
      </c>
      <c r="G90" s="19">
        <f t="shared" ref="G90:G99" si="4">ROUND(SUM(C90:F90)/4,0)</f>
        <v>136</v>
      </c>
      <c r="H90" s="21">
        <v>136</v>
      </c>
      <c r="I90" s="147">
        <v>136</v>
      </c>
    </row>
    <row r="91" spans="1:9" s="40" customFormat="1" ht="78" hidden="1">
      <c r="A91" s="8">
        <v>78</v>
      </c>
      <c r="B91" s="27" t="s">
        <v>94</v>
      </c>
      <c r="C91" s="21">
        <v>79</v>
      </c>
      <c r="D91" s="21">
        <f>79-1</f>
        <v>78</v>
      </c>
      <c r="E91" s="21">
        <v>79</v>
      </c>
      <c r="F91" s="21">
        <f>74+1</f>
        <v>75</v>
      </c>
      <c r="G91" s="19">
        <f t="shared" si="4"/>
        <v>78</v>
      </c>
      <c r="H91" s="21">
        <v>70</v>
      </c>
      <c r="I91" s="147">
        <v>70</v>
      </c>
    </row>
    <row r="92" spans="1:9" s="40" customFormat="1" ht="62.4" hidden="1">
      <c r="A92" s="8">
        <v>79</v>
      </c>
      <c r="B92" s="27" t="s">
        <v>95</v>
      </c>
      <c r="C92" s="21">
        <v>70</v>
      </c>
      <c r="D92" s="21">
        <v>68</v>
      </c>
      <c r="E92" s="21">
        <v>64</v>
      </c>
      <c r="F92" s="21">
        <v>64</v>
      </c>
      <c r="G92" s="19">
        <f t="shared" si="4"/>
        <v>67</v>
      </c>
      <c r="H92" s="21">
        <v>64</v>
      </c>
      <c r="I92" s="147">
        <v>64</v>
      </c>
    </row>
    <row r="93" spans="1:9" s="40" customFormat="1" ht="78" hidden="1">
      <c r="A93" s="8">
        <v>80</v>
      </c>
      <c r="B93" s="27" t="s">
        <v>96</v>
      </c>
      <c r="C93" s="21">
        <v>75</v>
      </c>
      <c r="D93" s="21">
        <v>75</v>
      </c>
      <c r="E93" s="21">
        <v>75</v>
      </c>
      <c r="F93" s="21">
        <v>75</v>
      </c>
      <c r="G93" s="19">
        <f t="shared" si="4"/>
        <v>75</v>
      </c>
      <c r="H93" s="21">
        <v>75</v>
      </c>
      <c r="I93" s="147">
        <v>75</v>
      </c>
    </row>
    <row r="94" spans="1:9" s="40" customFormat="1" ht="62.4" hidden="1">
      <c r="A94" s="8">
        <v>81</v>
      </c>
      <c r="B94" s="27" t="s">
        <v>97</v>
      </c>
      <c r="C94" s="21">
        <f>75+1</f>
        <v>76</v>
      </c>
      <c r="D94" s="21">
        <f>75+1</f>
        <v>76</v>
      </c>
      <c r="E94" s="21">
        <v>74</v>
      </c>
      <c r="F94" s="21">
        <f>73-1-1</f>
        <v>71</v>
      </c>
      <c r="G94" s="19">
        <f t="shared" si="4"/>
        <v>74</v>
      </c>
      <c r="H94" s="21">
        <v>75</v>
      </c>
      <c r="I94" s="147">
        <v>75</v>
      </c>
    </row>
    <row r="95" spans="1:9" s="40" customFormat="1" ht="78" hidden="1">
      <c r="A95" s="8">
        <v>82</v>
      </c>
      <c r="B95" s="27" t="s">
        <v>98</v>
      </c>
      <c r="C95" s="21">
        <f>47+1</f>
        <v>48</v>
      </c>
      <c r="D95" s="21">
        <v>44</v>
      </c>
      <c r="E95" s="21">
        <v>40</v>
      </c>
      <c r="F95" s="21">
        <f>40-1</f>
        <v>39</v>
      </c>
      <c r="G95" s="19">
        <f t="shared" si="4"/>
        <v>43</v>
      </c>
      <c r="H95" s="21">
        <v>38</v>
      </c>
      <c r="I95" s="147">
        <v>31</v>
      </c>
    </row>
    <row r="96" spans="1:9" s="40" customFormat="1" ht="78" hidden="1">
      <c r="A96" s="8">
        <v>83</v>
      </c>
      <c r="B96" s="27" t="s">
        <v>99</v>
      </c>
      <c r="C96" s="21">
        <v>37</v>
      </c>
      <c r="D96" s="21">
        <v>37</v>
      </c>
      <c r="E96" s="21">
        <v>37</v>
      </c>
      <c r="F96" s="21">
        <v>37</v>
      </c>
      <c r="G96" s="19">
        <f t="shared" si="4"/>
        <v>37</v>
      </c>
      <c r="H96" s="21">
        <v>37</v>
      </c>
      <c r="I96" s="147">
        <v>37</v>
      </c>
    </row>
    <row r="97" spans="1:9" s="40" customFormat="1" ht="62.4" hidden="1">
      <c r="A97" s="8">
        <v>84</v>
      </c>
      <c r="B97" s="27" t="s">
        <v>100</v>
      </c>
      <c r="C97" s="21">
        <f>119+2</f>
        <v>121</v>
      </c>
      <c r="D97" s="21">
        <f>119+2</f>
        <v>121</v>
      </c>
      <c r="E97" s="21">
        <v>121</v>
      </c>
      <c r="F97" s="21">
        <f>125-2-2</f>
        <v>121</v>
      </c>
      <c r="G97" s="19">
        <f t="shared" si="4"/>
        <v>121</v>
      </c>
      <c r="H97" s="21">
        <v>121</v>
      </c>
      <c r="I97" s="147">
        <v>121</v>
      </c>
    </row>
    <row r="98" spans="1:9" s="40" customFormat="1" ht="78" hidden="1">
      <c r="A98" s="8">
        <v>85</v>
      </c>
      <c r="B98" s="27" t="s">
        <v>101</v>
      </c>
      <c r="C98" s="21">
        <f>43+3</f>
        <v>46</v>
      </c>
      <c r="D98" s="21">
        <f>43+7</f>
        <v>50</v>
      </c>
      <c r="E98" s="21">
        <v>43</v>
      </c>
      <c r="F98" s="21">
        <f>37-3-7</f>
        <v>27</v>
      </c>
      <c r="G98" s="19">
        <f t="shared" si="4"/>
        <v>42</v>
      </c>
      <c r="H98" s="21">
        <v>37</v>
      </c>
      <c r="I98" s="147">
        <v>37</v>
      </c>
    </row>
    <row r="99" spans="1:9" s="40" customFormat="1" ht="78" hidden="1">
      <c r="A99" s="8">
        <v>86</v>
      </c>
      <c r="B99" s="27" t="s">
        <v>102</v>
      </c>
      <c r="C99" s="21">
        <v>51</v>
      </c>
      <c r="D99" s="21">
        <v>51</v>
      </c>
      <c r="E99" s="21">
        <v>53</v>
      </c>
      <c r="F99" s="21">
        <v>53</v>
      </c>
      <c r="G99" s="19">
        <f t="shared" si="4"/>
        <v>52</v>
      </c>
      <c r="H99" s="21">
        <v>51</v>
      </c>
      <c r="I99" s="147">
        <v>51</v>
      </c>
    </row>
    <row r="100" spans="1:9" s="16" customFormat="1" ht="78" hidden="1">
      <c r="A100" s="10">
        <v>87</v>
      </c>
      <c r="B100" s="33" t="s">
        <v>103</v>
      </c>
      <c r="C100" s="37">
        <f>42+1</f>
        <v>43</v>
      </c>
      <c r="D100" s="37">
        <v>42</v>
      </c>
      <c r="E100" s="37">
        <v>34</v>
      </c>
      <c r="F100" s="37">
        <f>40-1</f>
        <v>39</v>
      </c>
      <c r="G100" s="15">
        <v>39.4</v>
      </c>
      <c r="H100" s="37">
        <v>40</v>
      </c>
      <c r="I100" s="37">
        <v>40</v>
      </c>
    </row>
    <row r="101" spans="1:9" s="40" customFormat="1" ht="62.4" hidden="1">
      <c r="A101" s="8">
        <v>88</v>
      </c>
      <c r="B101" s="27" t="s">
        <v>104</v>
      </c>
      <c r="C101" s="21">
        <f>56-1</f>
        <v>55</v>
      </c>
      <c r="D101" s="21">
        <f>56-1</f>
        <v>55</v>
      </c>
      <c r="E101" s="19">
        <v>56</v>
      </c>
      <c r="F101" s="21">
        <f>56+1+1</f>
        <v>58</v>
      </c>
      <c r="G101" s="19">
        <f t="shared" ref="G101:G110" si="5">ROUND(SUM(C101:F101)/4,0)</f>
        <v>56</v>
      </c>
      <c r="H101" s="147">
        <v>56</v>
      </c>
      <c r="I101" s="147">
        <v>56</v>
      </c>
    </row>
    <row r="102" spans="1:9" s="40" customFormat="1" ht="62.4">
      <c r="A102" s="191">
        <v>89</v>
      </c>
      <c r="B102" s="186" t="s">
        <v>105</v>
      </c>
      <c r="C102" s="190">
        <v>175</v>
      </c>
      <c r="D102" s="190">
        <f>175+1</f>
        <v>176</v>
      </c>
      <c r="E102" s="190">
        <v>173</v>
      </c>
      <c r="F102" s="190">
        <f>163-1</f>
        <v>162</v>
      </c>
      <c r="G102" s="188">
        <f t="shared" si="5"/>
        <v>172</v>
      </c>
      <c r="H102" s="190">
        <v>163</v>
      </c>
      <c r="I102" s="190">
        <v>163</v>
      </c>
    </row>
    <row r="103" spans="1:9" s="40" customFormat="1" ht="62.4" hidden="1">
      <c r="A103" s="8">
        <v>90</v>
      </c>
      <c r="B103" s="27" t="s">
        <v>106</v>
      </c>
      <c r="C103" s="21">
        <f>133+1</f>
        <v>134</v>
      </c>
      <c r="D103" s="21">
        <f>133+1</f>
        <v>134</v>
      </c>
      <c r="E103" s="21">
        <v>133</v>
      </c>
      <c r="F103" s="21">
        <f>133-1-1</f>
        <v>131</v>
      </c>
      <c r="G103" s="19">
        <f t="shared" si="5"/>
        <v>133</v>
      </c>
      <c r="H103" s="21">
        <v>133</v>
      </c>
      <c r="I103" s="147">
        <v>133</v>
      </c>
    </row>
    <row r="104" spans="1:9" s="40" customFormat="1" ht="93.6" hidden="1">
      <c r="A104" s="8">
        <v>91</v>
      </c>
      <c r="B104" s="27" t="s">
        <v>107</v>
      </c>
      <c r="C104" s="21">
        <f>131-1</f>
        <v>130</v>
      </c>
      <c r="D104" s="21">
        <v>131</v>
      </c>
      <c r="E104" s="21">
        <v>122</v>
      </c>
      <c r="F104" s="21">
        <f>104+1</f>
        <v>105</v>
      </c>
      <c r="G104" s="19">
        <f t="shared" si="5"/>
        <v>122</v>
      </c>
      <c r="H104" s="21">
        <v>121</v>
      </c>
      <c r="I104" s="21">
        <v>83</v>
      </c>
    </row>
    <row r="105" spans="1:9" s="40" customFormat="1" ht="85.5" hidden="1" customHeight="1">
      <c r="A105" s="8">
        <v>92</v>
      </c>
      <c r="B105" s="27" t="s">
        <v>27</v>
      </c>
      <c r="C105" s="21">
        <v>28</v>
      </c>
      <c r="D105" s="21">
        <v>28</v>
      </c>
      <c r="E105" s="21">
        <v>28</v>
      </c>
      <c r="F105" s="21">
        <v>28</v>
      </c>
      <c r="G105" s="19">
        <f t="shared" si="5"/>
        <v>28</v>
      </c>
      <c r="H105" s="21">
        <v>28</v>
      </c>
      <c r="I105" s="147">
        <v>28</v>
      </c>
    </row>
    <row r="106" spans="1:9" s="16" customFormat="1" ht="93.6" hidden="1">
      <c r="A106" s="10">
        <v>93</v>
      </c>
      <c r="B106" s="33" t="s">
        <v>108</v>
      </c>
      <c r="C106" s="37">
        <f>58+1</f>
        <v>59</v>
      </c>
      <c r="D106" s="37">
        <f>58+2</f>
        <v>60</v>
      </c>
      <c r="E106" s="37">
        <v>58</v>
      </c>
      <c r="F106" s="37">
        <f>58-1-2</f>
        <v>55</v>
      </c>
      <c r="G106" s="15">
        <f t="shared" si="5"/>
        <v>58</v>
      </c>
      <c r="H106" s="37">
        <v>58</v>
      </c>
      <c r="I106" s="37">
        <v>58</v>
      </c>
    </row>
    <row r="107" spans="1:9" s="40" customFormat="1" ht="62.4" hidden="1">
      <c r="A107" s="8">
        <v>94</v>
      </c>
      <c r="B107" s="27" t="s">
        <v>109</v>
      </c>
      <c r="C107" s="21">
        <v>127</v>
      </c>
      <c r="D107" s="21">
        <v>127</v>
      </c>
      <c r="E107" s="21">
        <v>129</v>
      </c>
      <c r="F107" s="21">
        <v>129</v>
      </c>
      <c r="G107" s="19">
        <f t="shared" si="5"/>
        <v>128</v>
      </c>
      <c r="H107" s="21">
        <v>129</v>
      </c>
      <c r="I107" s="147">
        <v>129</v>
      </c>
    </row>
    <row r="108" spans="1:9" s="40" customFormat="1" ht="62.4" hidden="1">
      <c r="A108" s="8">
        <v>95</v>
      </c>
      <c r="B108" s="27" t="s">
        <v>110</v>
      </c>
      <c r="C108" s="21">
        <f>95+3</f>
        <v>98</v>
      </c>
      <c r="D108" s="21">
        <f>95+3</f>
        <v>98</v>
      </c>
      <c r="E108" s="21">
        <v>97</v>
      </c>
      <c r="F108" s="21">
        <f>101-3-3</f>
        <v>95</v>
      </c>
      <c r="G108" s="19">
        <f t="shared" si="5"/>
        <v>97</v>
      </c>
      <c r="H108" s="21">
        <v>104</v>
      </c>
      <c r="I108" s="147">
        <v>102</v>
      </c>
    </row>
    <row r="109" spans="1:9" s="40" customFormat="1" ht="62.4" hidden="1">
      <c r="A109" s="8">
        <v>96</v>
      </c>
      <c r="B109" s="27" t="s">
        <v>111</v>
      </c>
      <c r="C109" s="19">
        <f>138+7</f>
        <v>145</v>
      </c>
      <c r="D109" s="21">
        <f>138+8</f>
        <v>146</v>
      </c>
      <c r="E109" s="21">
        <v>137</v>
      </c>
      <c r="F109" s="21">
        <f>135-7-8</f>
        <v>120</v>
      </c>
      <c r="G109" s="19">
        <f t="shared" si="5"/>
        <v>137</v>
      </c>
      <c r="H109" s="21">
        <v>137</v>
      </c>
      <c r="I109" s="147">
        <v>141</v>
      </c>
    </row>
    <row r="110" spans="1:9" s="40" customFormat="1" ht="62.4" hidden="1">
      <c r="A110" s="8">
        <v>97</v>
      </c>
      <c r="B110" s="27" t="s">
        <v>112</v>
      </c>
      <c r="C110" s="21">
        <f>121+3</f>
        <v>124</v>
      </c>
      <c r="D110" s="21">
        <f>121+3</f>
        <v>124</v>
      </c>
      <c r="E110" s="21">
        <v>113</v>
      </c>
      <c r="F110" s="21">
        <f>113-3-3</f>
        <v>107</v>
      </c>
      <c r="G110" s="19">
        <f t="shared" si="5"/>
        <v>117</v>
      </c>
      <c r="H110" s="21">
        <v>115</v>
      </c>
      <c r="I110" s="147">
        <v>113</v>
      </c>
    </row>
    <row r="111" spans="1:9" ht="46.8" hidden="1">
      <c r="A111" s="8">
        <v>98</v>
      </c>
      <c r="B111" s="27" t="s">
        <v>511</v>
      </c>
      <c r="C111" s="21">
        <v>0</v>
      </c>
      <c r="D111" s="21">
        <v>87</v>
      </c>
      <c r="E111" s="21">
        <v>91</v>
      </c>
      <c r="F111" s="21">
        <v>99</v>
      </c>
      <c r="G111" s="19">
        <f>ROUND(SUM(C111:F111)/4,0)</f>
        <v>69</v>
      </c>
      <c r="H111" s="21">
        <v>0</v>
      </c>
      <c r="I111" s="147">
        <v>0</v>
      </c>
    </row>
    <row r="112" spans="1:9" ht="15.6">
      <c r="A112" s="58"/>
      <c r="B112" s="59" t="s">
        <v>28</v>
      </c>
      <c r="C112" s="60">
        <f>SUM(C14:C111)</f>
        <v>18550</v>
      </c>
      <c r="D112" s="60">
        <f>SUM(D14:D111)</f>
        <v>18619</v>
      </c>
      <c r="E112" s="60">
        <f>SUM(E14:E111)</f>
        <v>18729</v>
      </c>
      <c r="F112" s="60">
        <f>SUM(F14:F111)</f>
        <v>18907</v>
      </c>
      <c r="G112" s="19">
        <f>ROUND(SUM(C112:F112)/4,0)</f>
        <v>18701</v>
      </c>
      <c r="H112" s="61">
        <f>SUM(H14:H111)</f>
        <v>18943</v>
      </c>
      <c r="I112" s="61">
        <f>SUM(I14:I111)</f>
        <v>18973</v>
      </c>
    </row>
    <row r="113" spans="1:9" ht="15.6">
      <c r="A113" s="4"/>
      <c r="B113" s="62"/>
      <c r="C113" s="63"/>
      <c r="D113" s="63"/>
      <c r="E113" s="63"/>
      <c r="F113" s="63"/>
      <c r="G113" s="64"/>
      <c r="H113" s="65"/>
      <c r="I113" s="63"/>
    </row>
    <row r="114" spans="1:9" ht="15.6">
      <c r="A114" s="5"/>
      <c r="B114" s="5"/>
      <c r="C114" s="5"/>
      <c r="D114" s="5"/>
      <c r="E114" s="5"/>
      <c r="F114" s="5"/>
      <c r="G114" s="46"/>
      <c r="H114" s="5"/>
      <c r="I114" s="5"/>
    </row>
    <row r="115" spans="1:9" ht="15.6">
      <c r="A115" s="176" t="s">
        <v>113</v>
      </c>
      <c r="B115" s="176"/>
      <c r="C115" s="176"/>
      <c r="D115" s="176"/>
      <c r="E115" s="176"/>
      <c r="F115" s="176"/>
      <c r="G115" s="176"/>
      <c r="H115" s="176"/>
      <c r="I115" s="176"/>
    </row>
  </sheetData>
  <sheetProtection selectLockedCells="1" selectUnlockedCells="1"/>
  <autoFilter ref="A12:I13"/>
  <mergeCells count="5">
    <mergeCell ref="A10:I10"/>
    <mergeCell ref="A12:A13"/>
    <mergeCell ref="B12:B13"/>
    <mergeCell ref="C12:I12"/>
    <mergeCell ref="A115:I115"/>
  </mergeCells>
  <pageMargins left="0.78749999999999998" right="0.39374999999999999" top="0.74791666666666667" bottom="0.39374999999999999" header="0.51180555555555551" footer="0.51180555555555551"/>
  <pageSetup paperSize="9" scale="61" firstPageNumber="0" fitToHeight="0" orientation="portrait" horizontalDpi="300" verticalDpi="300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J91"/>
  <sheetViews>
    <sheetView tabSelected="1" view="pageBreakPreview" zoomScaleSheetLayoutView="100" workbookViewId="0">
      <pane xSplit="2" ySplit="13" topLeftCell="C14" activePane="bottomRight" state="frozen"/>
      <selection pane="topRight" activeCell="C1" sqref="C1"/>
      <selection pane="bottomLeft" activeCell="A17" sqref="A17"/>
      <selection pane="bottomRight" activeCell="C12" sqref="C12:I12"/>
    </sheetView>
  </sheetViews>
  <sheetFormatPr defaultRowHeight="14.4"/>
  <cols>
    <col min="1" max="1" width="5.109375" customWidth="1"/>
    <col min="2" max="2" width="56.44140625" customWidth="1"/>
    <col min="3" max="3" width="11" customWidth="1"/>
    <col min="4" max="4" width="10.88671875" customWidth="1"/>
    <col min="5" max="5" width="11" customWidth="1"/>
    <col min="6" max="6" width="11.44140625" customWidth="1"/>
    <col min="7" max="7" width="11.44140625" style="28" customWidth="1"/>
    <col min="8" max="8" width="11.5546875" customWidth="1"/>
    <col min="9" max="9" width="12.44140625" customWidth="1"/>
    <col min="10" max="10" width="9.109375" style="40" customWidth="1"/>
    <col min="11" max="12" width="9.109375" customWidth="1"/>
  </cols>
  <sheetData>
    <row r="1" spans="1:10" ht="15.6" hidden="1">
      <c r="E1" s="66" t="s">
        <v>134</v>
      </c>
    </row>
    <row r="2" spans="1:10" hidden="1"/>
    <row r="3" spans="1:10" ht="15.6">
      <c r="A3" s="1"/>
      <c r="B3" s="1"/>
      <c r="C3" s="66"/>
      <c r="D3" s="66"/>
      <c r="E3" s="1"/>
      <c r="F3" s="1" t="s">
        <v>135</v>
      </c>
      <c r="H3" s="66"/>
      <c r="I3" s="67"/>
    </row>
    <row r="4" spans="1:10" ht="30.75" customHeight="1">
      <c r="A4" s="3" t="s">
        <v>2</v>
      </c>
      <c r="B4" s="3"/>
      <c r="C4" s="66"/>
      <c r="D4" s="66"/>
      <c r="E4" s="3"/>
      <c r="F4" s="1" t="s">
        <v>30</v>
      </c>
      <c r="H4" s="66"/>
      <c r="I4" s="67"/>
    </row>
    <row r="5" spans="1:10" ht="29.25" customHeight="1">
      <c r="A5" s="3"/>
      <c r="B5" s="3"/>
      <c r="C5" s="66"/>
      <c r="D5" s="66"/>
      <c r="E5" s="3"/>
      <c r="F5" s="3" t="s">
        <v>3</v>
      </c>
      <c r="H5" s="68"/>
      <c r="I5" s="68"/>
    </row>
    <row r="6" spans="1:10" ht="15.6">
      <c r="A6" s="1"/>
      <c r="B6" s="1"/>
      <c r="C6" s="66"/>
      <c r="D6" s="66"/>
      <c r="E6" s="1"/>
      <c r="F6" s="3" t="s">
        <v>4</v>
      </c>
      <c r="H6" s="66"/>
      <c r="I6" s="67"/>
    </row>
    <row r="7" spans="1:10" ht="15.6">
      <c r="A7" s="1"/>
      <c r="B7" s="1"/>
      <c r="C7" s="66"/>
      <c r="D7" s="66"/>
      <c r="E7" s="1"/>
      <c r="F7" s="1" t="s">
        <v>518</v>
      </c>
      <c r="G7" s="1"/>
      <c r="H7" s="66"/>
      <c r="I7" s="67"/>
    </row>
    <row r="8" spans="1:10" ht="15.6">
      <c r="A8" s="1"/>
      <c r="B8" s="1"/>
      <c r="C8" s="66"/>
      <c r="D8" s="66"/>
      <c r="E8" s="1"/>
      <c r="F8" s="1"/>
      <c r="G8" s="1"/>
      <c r="H8" s="66"/>
      <c r="I8" s="67"/>
    </row>
    <row r="9" spans="1:10" ht="15.6">
      <c r="A9" s="4"/>
      <c r="B9" s="4"/>
      <c r="C9" s="5"/>
      <c r="D9" s="66"/>
      <c r="E9" s="66"/>
      <c r="F9" s="66"/>
      <c r="G9" s="67"/>
      <c r="H9" s="66"/>
      <c r="I9" s="66"/>
    </row>
    <row r="10" spans="1:10" ht="35.25" customHeight="1">
      <c r="A10" s="175" t="s">
        <v>136</v>
      </c>
      <c r="B10" s="175"/>
      <c r="C10" s="175"/>
      <c r="D10" s="175"/>
      <c r="E10" s="175"/>
      <c r="F10" s="175"/>
      <c r="G10" s="175"/>
      <c r="H10" s="175"/>
      <c r="I10" s="175"/>
    </row>
    <row r="11" spans="1:10" ht="15.75" customHeight="1">
      <c r="A11" s="47"/>
      <c r="B11" s="47"/>
      <c r="C11" s="47"/>
      <c r="D11" s="47"/>
      <c r="E11" s="47"/>
      <c r="F11" s="69"/>
      <c r="G11" s="69"/>
      <c r="H11" s="66"/>
      <c r="I11" s="66"/>
    </row>
    <row r="12" spans="1:10" ht="40.5" customHeight="1">
      <c r="A12" s="172" t="s">
        <v>6</v>
      </c>
      <c r="B12" s="172" t="s">
        <v>7</v>
      </c>
      <c r="C12" s="172" t="s">
        <v>8</v>
      </c>
      <c r="D12" s="172"/>
      <c r="E12" s="172"/>
      <c r="F12" s="172"/>
      <c r="G12" s="172"/>
      <c r="H12" s="172"/>
      <c r="I12" s="172"/>
    </row>
    <row r="13" spans="1:10" ht="33.75" customHeight="1">
      <c r="A13" s="172"/>
      <c r="B13" s="172"/>
      <c r="C13" s="9" t="s">
        <v>9</v>
      </c>
      <c r="D13" s="9" t="s">
        <v>10</v>
      </c>
      <c r="E13" s="9" t="s">
        <v>11</v>
      </c>
      <c r="F13" s="9" t="s">
        <v>12</v>
      </c>
      <c r="G13" s="9" t="s">
        <v>13</v>
      </c>
      <c r="H13" s="9" t="s">
        <v>14</v>
      </c>
      <c r="I13" s="9" t="s">
        <v>15</v>
      </c>
    </row>
    <row r="14" spans="1:10" s="40" customFormat="1" ht="46.8" hidden="1">
      <c r="A14" s="8">
        <v>1</v>
      </c>
      <c r="B14" s="27" t="s">
        <v>32</v>
      </c>
      <c r="C14" s="148">
        <v>41</v>
      </c>
      <c r="D14" s="148">
        <f>41-1</f>
        <v>40</v>
      </c>
      <c r="E14" s="148">
        <v>40</v>
      </c>
      <c r="F14" s="148">
        <f>40+1</f>
        <v>41</v>
      </c>
      <c r="G14" s="19">
        <v>40.4</v>
      </c>
      <c r="H14" s="148">
        <v>40</v>
      </c>
      <c r="I14" s="148">
        <v>39</v>
      </c>
    </row>
    <row r="15" spans="1:10" s="16" customFormat="1" ht="46.8" hidden="1">
      <c r="A15" s="10">
        <v>2</v>
      </c>
      <c r="B15" s="33" t="s">
        <v>16</v>
      </c>
      <c r="C15" s="13">
        <v>5</v>
      </c>
      <c r="D15" s="13">
        <v>5</v>
      </c>
      <c r="E15" s="13">
        <v>6</v>
      </c>
      <c r="F15" s="13">
        <v>7</v>
      </c>
      <c r="G15" s="15">
        <f>ROUND(SUM(C15:F15)/4,0)</f>
        <v>6</v>
      </c>
      <c r="H15" s="15">
        <v>9</v>
      </c>
      <c r="I15" s="15">
        <v>9</v>
      </c>
      <c r="J15" s="40"/>
    </row>
    <row r="16" spans="1:10" s="40" customFormat="1" ht="62.4" hidden="1">
      <c r="A16" s="8">
        <v>3</v>
      </c>
      <c r="B16" s="27" t="s">
        <v>33</v>
      </c>
      <c r="C16" s="148">
        <f>84+2</f>
        <v>86</v>
      </c>
      <c r="D16" s="148">
        <f>84+3</f>
        <v>87</v>
      </c>
      <c r="E16" s="148">
        <v>79</v>
      </c>
      <c r="F16" s="148">
        <f>70-2-3</f>
        <v>65</v>
      </c>
      <c r="G16" s="19">
        <f>ROUND(SUM(C16:F16)/4,0)</f>
        <v>79</v>
      </c>
      <c r="H16" s="148">
        <v>68</v>
      </c>
      <c r="I16" s="148">
        <v>63</v>
      </c>
    </row>
    <row r="17" spans="1:10" s="16" customFormat="1" ht="62.4" hidden="1">
      <c r="A17" s="10">
        <v>4</v>
      </c>
      <c r="B17" s="33" t="s">
        <v>118</v>
      </c>
      <c r="C17" s="13">
        <v>39</v>
      </c>
      <c r="D17" s="13">
        <f>39-1</f>
        <v>38</v>
      </c>
      <c r="E17" s="13">
        <v>40</v>
      </c>
      <c r="F17" s="13">
        <f>41+1</f>
        <v>42</v>
      </c>
      <c r="G17" s="15">
        <f>ROUND(SUM(C17:F17)/4,0)</f>
        <v>40</v>
      </c>
      <c r="H17" s="13">
        <v>45</v>
      </c>
      <c r="I17" s="13">
        <v>40</v>
      </c>
      <c r="J17" s="40"/>
    </row>
    <row r="18" spans="1:10" s="40" customFormat="1" ht="62.4" hidden="1">
      <c r="A18" s="8">
        <v>5</v>
      </c>
      <c r="B18" s="27" t="s">
        <v>35</v>
      </c>
      <c r="C18" s="148">
        <v>31</v>
      </c>
      <c r="D18" s="148">
        <v>31</v>
      </c>
      <c r="E18" s="148">
        <v>30</v>
      </c>
      <c r="F18" s="148">
        <v>28</v>
      </c>
      <c r="G18" s="19">
        <f>ROUND(SUM(C18:F18)/4,0)</f>
        <v>30</v>
      </c>
      <c r="H18" s="148">
        <v>27</v>
      </c>
      <c r="I18" s="148">
        <v>25</v>
      </c>
    </row>
    <row r="19" spans="1:10" s="16" customFormat="1" ht="46.8" hidden="1">
      <c r="A19" s="10">
        <v>6</v>
      </c>
      <c r="B19" s="33" t="s">
        <v>17</v>
      </c>
      <c r="C19" s="13">
        <v>7</v>
      </c>
      <c r="D19" s="13">
        <v>7</v>
      </c>
      <c r="E19" s="13">
        <v>5</v>
      </c>
      <c r="F19" s="13">
        <v>5</v>
      </c>
      <c r="G19" s="15">
        <f>ROUND(SUM(C19:F19)/4,0)</f>
        <v>6</v>
      </c>
      <c r="H19" s="15">
        <v>5</v>
      </c>
      <c r="I19" s="15">
        <v>4</v>
      </c>
      <c r="J19" s="40"/>
    </row>
    <row r="20" spans="1:10" s="40" customFormat="1" ht="62.4" hidden="1">
      <c r="A20" s="8">
        <v>7</v>
      </c>
      <c r="B20" s="27" t="s">
        <v>36</v>
      </c>
      <c r="C20" s="148">
        <v>91</v>
      </c>
      <c r="D20" s="148">
        <v>91</v>
      </c>
      <c r="E20" s="148">
        <v>88</v>
      </c>
      <c r="F20" s="148">
        <v>88</v>
      </c>
      <c r="G20" s="19">
        <v>89.4</v>
      </c>
      <c r="H20" s="148">
        <v>94</v>
      </c>
      <c r="I20" s="148">
        <v>94</v>
      </c>
    </row>
    <row r="21" spans="1:10" s="16" customFormat="1" ht="46.8" hidden="1">
      <c r="A21" s="10">
        <v>8</v>
      </c>
      <c r="B21" s="33" t="s">
        <v>119</v>
      </c>
      <c r="C21" s="13">
        <f>194-25</f>
        <v>169</v>
      </c>
      <c r="D21" s="13">
        <f>194-35</f>
        <v>159</v>
      </c>
      <c r="E21" s="13">
        <v>182</v>
      </c>
      <c r="F21" s="13">
        <f>200+25+35</f>
        <v>260</v>
      </c>
      <c r="G21" s="15">
        <v>192.4</v>
      </c>
      <c r="H21" s="13">
        <v>190</v>
      </c>
      <c r="I21" s="13">
        <v>190</v>
      </c>
      <c r="J21" s="40"/>
    </row>
    <row r="22" spans="1:10" s="40" customFormat="1" ht="46.8" hidden="1">
      <c r="A22" s="8">
        <v>9</v>
      </c>
      <c r="B22" s="27" t="s">
        <v>137</v>
      </c>
      <c r="C22" s="148">
        <f>33-1</f>
        <v>32</v>
      </c>
      <c r="D22" s="148">
        <f>33-1</f>
        <v>32</v>
      </c>
      <c r="E22" s="148">
        <v>32</v>
      </c>
      <c r="F22" s="148">
        <f>30+1+1</f>
        <v>32</v>
      </c>
      <c r="G22" s="19">
        <f t="shared" ref="G22:G29" si="0">ROUND(SUM(C22:F22)/4,0)</f>
        <v>32</v>
      </c>
      <c r="H22" s="148">
        <v>30</v>
      </c>
      <c r="I22" s="148">
        <v>30</v>
      </c>
    </row>
    <row r="23" spans="1:10" s="40" customFormat="1" ht="46.8" hidden="1">
      <c r="A23" s="8">
        <v>10</v>
      </c>
      <c r="B23" s="27" t="s">
        <v>38</v>
      </c>
      <c r="C23" s="148">
        <v>52</v>
      </c>
      <c r="D23" s="148">
        <v>52</v>
      </c>
      <c r="E23" s="148">
        <v>50</v>
      </c>
      <c r="F23" s="148">
        <v>46</v>
      </c>
      <c r="G23" s="19">
        <f t="shared" si="0"/>
        <v>50</v>
      </c>
      <c r="H23" s="148">
        <v>43</v>
      </c>
      <c r="I23" s="148">
        <v>40</v>
      </c>
    </row>
    <row r="24" spans="1:10" s="16" customFormat="1" ht="46.8" hidden="1">
      <c r="A24" s="10">
        <v>11</v>
      </c>
      <c r="B24" s="33" t="s">
        <v>138</v>
      </c>
      <c r="C24" s="13">
        <v>2</v>
      </c>
      <c r="D24" s="13">
        <v>2</v>
      </c>
      <c r="E24" s="13">
        <v>1</v>
      </c>
      <c r="F24" s="13">
        <v>0</v>
      </c>
      <c r="G24" s="15">
        <f t="shared" si="0"/>
        <v>1</v>
      </c>
      <c r="H24" s="15">
        <v>9</v>
      </c>
      <c r="I24" s="15">
        <v>14</v>
      </c>
      <c r="J24" s="40"/>
    </row>
    <row r="25" spans="1:10" s="40" customFormat="1" ht="62.4" hidden="1">
      <c r="A25" s="8">
        <v>12</v>
      </c>
      <c r="B25" s="27" t="s">
        <v>41</v>
      </c>
      <c r="C25" s="148">
        <f>52+2</f>
        <v>54</v>
      </c>
      <c r="D25" s="148">
        <f>52+1</f>
        <v>53</v>
      </c>
      <c r="E25" s="148">
        <v>52</v>
      </c>
      <c r="F25" s="148">
        <f>52-2-1</f>
        <v>49</v>
      </c>
      <c r="G25" s="19">
        <f t="shared" si="0"/>
        <v>52</v>
      </c>
      <c r="H25" s="148">
        <v>52</v>
      </c>
      <c r="I25" s="148">
        <v>52</v>
      </c>
    </row>
    <row r="26" spans="1:10" s="40" customFormat="1" ht="62.4" hidden="1">
      <c r="A26" s="8">
        <v>13</v>
      </c>
      <c r="B26" s="27" t="s">
        <v>42</v>
      </c>
      <c r="C26" s="148">
        <f>62+1</f>
        <v>63</v>
      </c>
      <c r="D26" s="148">
        <f>62+1</f>
        <v>63</v>
      </c>
      <c r="E26" s="148">
        <v>60</v>
      </c>
      <c r="F26" s="148">
        <f>56-1-1</f>
        <v>54</v>
      </c>
      <c r="G26" s="19">
        <f t="shared" si="0"/>
        <v>60</v>
      </c>
      <c r="H26" s="148">
        <v>54</v>
      </c>
      <c r="I26" s="148">
        <v>50</v>
      </c>
    </row>
    <row r="27" spans="1:10" s="40" customFormat="1" ht="62.4" hidden="1">
      <c r="A27" s="8">
        <v>14</v>
      </c>
      <c r="B27" s="27" t="s">
        <v>43</v>
      </c>
      <c r="C27" s="148">
        <v>87</v>
      </c>
      <c r="D27" s="148">
        <f>84+2</f>
        <v>86</v>
      </c>
      <c r="E27" s="148">
        <v>85</v>
      </c>
      <c r="F27" s="148">
        <f>88-2</f>
        <v>86</v>
      </c>
      <c r="G27" s="19">
        <f t="shared" si="0"/>
        <v>86</v>
      </c>
      <c r="H27" s="148">
        <v>124</v>
      </c>
      <c r="I27" s="148">
        <v>135</v>
      </c>
    </row>
    <row r="28" spans="1:10" s="16" customFormat="1" ht="62.4" hidden="1">
      <c r="A28" s="10">
        <v>15</v>
      </c>
      <c r="B28" s="33" t="s">
        <v>122</v>
      </c>
      <c r="C28" s="13">
        <v>88</v>
      </c>
      <c r="D28" s="13">
        <v>88</v>
      </c>
      <c r="E28" s="13">
        <v>88</v>
      </c>
      <c r="F28" s="13">
        <v>88</v>
      </c>
      <c r="G28" s="15">
        <f t="shared" si="0"/>
        <v>88</v>
      </c>
      <c r="H28" s="13">
        <v>88</v>
      </c>
      <c r="I28" s="13">
        <v>88</v>
      </c>
      <c r="J28" s="40"/>
    </row>
    <row r="29" spans="1:10" s="40" customFormat="1" ht="46.8" hidden="1">
      <c r="A29" s="8">
        <v>16</v>
      </c>
      <c r="B29" s="27" t="s">
        <v>44</v>
      </c>
      <c r="C29" s="148">
        <v>39</v>
      </c>
      <c r="D29" s="148">
        <v>39</v>
      </c>
      <c r="E29" s="148">
        <v>37</v>
      </c>
      <c r="F29" s="148">
        <v>33</v>
      </c>
      <c r="G29" s="19">
        <f t="shared" si="0"/>
        <v>37</v>
      </c>
      <c r="H29" s="148">
        <v>35</v>
      </c>
      <c r="I29" s="148">
        <v>35</v>
      </c>
    </row>
    <row r="30" spans="1:10" s="16" customFormat="1" ht="46.8" hidden="1">
      <c r="A30" s="10">
        <v>17</v>
      </c>
      <c r="B30" s="33" t="s">
        <v>45</v>
      </c>
      <c r="C30" s="13">
        <v>30</v>
      </c>
      <c r="D30" s="13">
        <v>30</v>
      </c>
      <c r="E30" s="13">
        <v>30</v>
      </c>
      <c r="F30" s="13">
        <v>32</v>
      </c>
      <c r="G30" s="15">
        <v>30.4</v>
      </c>
      <c r="H30" s="15">
        <v>26</v>
      </c>
      <c r="I30" s="15">
        <v>20</v>
      </c>
      <c r="J30" s="40"/>
    </row>
    <row r="31" spans="1:10" s="16" customFormat="1" ht="46.8" hidden="1">
      <c r="A31" s="10">
        <v>18</v>
      </c>
      <c r="B31" s="33" t="s">
        <v>19</v>
      </c>
      <c r="C31" s="35">
        <f>12+1</f>
        <v>13</v>
      </c>
      <c r="D31" s="35">
        <f>12+1</f>
        <v>13</v>
      </c>
      <c r="E31" s="35">
        <v>10</v>
      </c>
      <c r="F31" s="35">
        <f>7-1-1</f>
        <v>5</v>
      </c>
      <c r="G31" s="15">
        <f t="shared" ref="G31:G42" si="1">ROUND(SUM(C31:F31)/4,0)</f>
        <v>10</v>
      </c>
      <c r="H31" s="15">
        <v>7</v>
      </c>
      <c r="I31" s="15">
        <v>7</v>
      </c>
      <c r="J31" s="40"/>
    </row>
    <row r="32" spans="1:10" s="40" customFormat="1" ht="46.8" hidden="1">
      <c r="A32" s="8">
        <v>19</v>
      </c>
      <c r="B32" s="27" t="s">
        <v>46</v>
      </c>
      <c r="C32" s="153">
        <v>49</v>
      </c>
      <c r="D32" s="148">
        <v>49</v>
      </c>
      <c r="E32" s="148">
        <v>49</v>
      </c>
      <c r="F32" s="148">
        <v>40</v>
      </c>
      <c r="G32" s="19">
        <f t="shared" si="1"/>
        <v>47</v>
      </c>
      <c r="H32" s="153">
        <v>45</v>
      </c>
      <c r="I32" s="153">
        <v>45</v>
      </c>
    </row>
    <row r="33" spans="1:10" s="16" customFormat="1" ht="46.8" hidden="1">
      <c r="A33" s="10">
        <v>20</v>
      </c>
      <c r="B33" s="33" t="s">
        <v>47</v>
      </c>
      <c r="C33" s="13">
        <f>72-1</f>
        <v>71</v>
      </c>
      <c r="D33" s="13">
        <f>72-1</f>
        <v>71</v>
      </c>
      <c r="E33" s="13">
        <v>69</v>
      </c>
      <c r="F33" s="13">
        <f>63+1+1</f>
        <v>65</v>
      </c>
      <c r="G33" s="15">
        <f t="shared" si="1"/>
        <v>69</v>
      </c>
      <c r="H33" s="13">
        <v>63</v>
      </c>
      <c r="I33" s="13">
        <v>63</v>
      </c>
      <c r="J33" s="40"/>
    </row>
    <row r="34" spans="1:10" s="40" customFormat="1" ht="46.8" hidden="1">
      <c r="A34" s="8">
        <v>21</v>
      </c>
      <c r="B34" s="27" t="s">
        <v>139</v>
      </c>
      <c r="C34" s="148">
        <v>67</v>
      </c>
      <c r="D34" s="148">
        <v>67</v>
      </c>
      <c r="E34" s="148">
        <v>61</v>
      </c>
      <c r="F34" s="148">
        <v>50</v>
      </c>
      <c r="G34" s="19">
        <f t="shared" si="1"/>
        <v>61</v>
      </c>
      <c r="H34" s="148">
        <v>50</v>
      </c>
      <c r="I34" s="148">
        <v>50</v>
      </c>
    </row>
    <row r="35" spans="1:10" s="40" customFormat="1" ht="46.8" hidden="1">
      <c r="A35" s="8">
        <v>22</v>
      </c>
      <c r="B35" s="27" t="s">
        <v>49</v>
      </c>
      <c r="C35" s="148">
        <v>40</v>
      </c>
      <c r="D35" s="148">
        <f>40+1</f>
        <v>41</v>
      </c>
      <c r="E35" s="148">
        <v>40</v>
      </c>
      <c r="F35" s="148">
        <f>40-1</f>
        <v>39</v>
      </c>
      <c r="G35" s="19">
        <f t="shared" si="1"/>
        <v>40</v>
      </c>
      <c r="H35" s="148">
        <v>40</v>
      </c>
      <c r="I35" s="148">
        <v>42</v>
      </c>
    </row>
    <row r="36" spans="1:10" s="40" customFormat="1" ht="62.4" hidden="1">
      <c r="A36" s="8">
        <v>23</v>
      </c>
      <c r="B36" s="27" t="s">
        <v>50</v>
      </c>
      <c r="C36" s="148">
        <v>54</v>
      </c>
      <c r="D36" s="148">
        <v>54</v>
      </c>
      <c r="E36" s="148">
        <v>53</v>
      </c>
      <c r="F36" s="148">
        <v>52</v>
      </c>
      <c r="G36" s="19">
        <f t="shared" si="1"/>
        <v>53</v>
      </c>
      <c r="H36" s="148">
        <v>52</v>
      </c>
      <c r="I36" s="148">
        <v>52</v>
      </c>
    </row>
    <row r="37" spans="1:10" s="40" customFormat="1" ht="46.8" hidden="1">
      <c r="A37" s="8">
        <v>24</v>
      </c>
      <c r="B37" s="27" t="s">
        <v>20</v>
      </c>
      <c r="C37" s="55">
        <v>8</v>
      </c>
      <c r="D37" s="55">
        <v>8</v>
      </c>
      <c r="E37" s="55">
        <v>9</v>
      </c>
      <c r="F37" s="55">
        <v>10</v>
      </c>
      <c r="G37" s="19">
        <f t="shared" si="1"/>
        <v>9</v>
      </c>
      <c r="H37" s="147">
        <v>11</v>
      </c>
      <c r="I37" s="147">
        <v>12</v>
      </c>
    </row>
    <row r="38" spans="1:10" s="40" customFormat="1" ht="46.8" hidden="1">
      <c r="A38" s="8">
        <v>25</v>
      </c>
      <c r="B38" s="27" t="s">
        <v>51</v>
      </c>
      <c r="C38" s="148">
        <v>34</v>
      </c>
      <c r="D38" s="148">
        <v>34</v>
      </c>
      <c r="E38" s="148">
        <v>32</v>
      </c>
      <c r="F38" s="148">
        <v>32</v>
      </c>
      <c r="G38" s="19">
        <f t="shared" si="1"/>
        <v>33</v>
      </c>
      <c r="H38" s="148">
        <v>30</v>
      </c>
      <c r="I38" s="148">
        <v>30</v>
      </c>
    </row>
    <row r="39" spans="1:10" s="40" customFormat="1" ht="62.4" hidden="1">
      <c r="A39" s="8">
        <v>26</v>
      </c>
      <c r="B39" s="27" t="s">
        <v>52</v>
      </c>
      <c r="C39" s="148">
        <v>94</v>
      </c>
      <c r="D39" s="148">
        <v>94</v>
      </c>
      <c r="E39" s="148">
        <v>93</v>
      </c>
      <c r="F39" s="148">
        <v>90</v>
      </c>
      <c r="G39" s="19">
        <f t="shared" si="1"/>
        <v>93</v>
      </c>
      <c r="H39" s="148">
        <v>93</v>
      </c>
      <c r="I39" s="148">
        <v>95</v>
      </c>
    </row>
    <row r="40" spans="1:10" s="40" customFormat="1" ht="62.4" hidden="1">
      <c r="A40" s="8">
        <v>27</v>
      </c>
      <c r="B40" s="27" t="s">
        <v>53</v>
      </c>
      <c r="C40" s="148">
        <v>90</v>
      </c>
      <c r="D40" s="148">
        <v>90</v>
      </c>
      <c r="E40" s="148">
        <v>78</v>
      </c>
      <c r="F40" s="148">
        <v>78</v>
      </c>
      <c r="G40" s="19">
        <f t="shared" si="1"/>
        <v>84</v>
      </c>
      <c r="H40" s="148">
        <v>84</v>
      </c>
      <c r="I40" s="148">
        <v>84</v>
      </c>
    </row>
    <row r="41" spans="1:10" s="16" customFormat="1" ht="46.8" hidden="1">
      <c r="A41" s="10">
        <v>28</v>
      </c>
      <c r="B41" s="33" t="s">
        <v>124</v>
      </c>
      <c r="C41" s="13">
        <f>220-11</f>
        <v>209</v>
      </c>
      <c r="D41" s="13">
        <f>220-38</f>
        <v>182</v>
      </c>
      <c r="E41" s="13">
        <v>240</v>
      </c>
      <c r="F41" s="13">
        <f>230+11+38</f>
        <v>279</v>
      </c>
      <c r="G41" s="15">
        <f t="shared" si="1"/>
        <v>228</v>
      </c>
      <c r="H41" s="13">
        <v>160</v>
      </c>
      <c r="I41" s="13">
        <v>160</v>
      </c>
      <c r="J41" s="40"/>
    </row>
    <row r="42" spans="1:10" s="40" customFormat="1" ht="46.8" hidden="1">
      <c r="A42" s="8">
        <v>29</v>
      </c>
      <c r="B42" s="27" t="s">
        <v>140</v>
      </c>
      <c r="C42" s="148">
        <v>37</v>
      </c>
      <c r="D42" s="148">
        <v>37</v>
      </c>
      <c r="E42" s="148">
        <v>37</v>
      </c>
      <c r="F42" s="148">
        <v>35</v>
      </c>
      <c r="G42" s="19">
        <f t="shared" si="1"/>
        <v>37</v>
      </c>
      <c r="H42" s="148">
        <v>33</v>
      </c>
      <c r="I42" s="148">
        <v>33</v>
      </c>
    </row>
    <row r="43" spans="1:10" s="40" customFormat="1" ht="46.8" hidden="1">
      <c r="A43" s="8">
        <v>30</v>
      </c>
      <c r="B43" s="27" t="s">
        <v>126</v>
      </c>
      <c r="C43" s="148">
        <f>82+1</f>
        <v>83</v>
      </c>
      <c r="D43" s="148">
        <f>82+1</f>
        <v>83</v>
      </c>
      <c r="E43" s="148">
        <v>81</v>
      </c>
      <c r="F43" s="148">
        <f>81-1-1</f>
        <v>79</v>
      </c>
      <c r="G43" s="19">
        <v>81.400000000000006</v>
      </c>
      <c r="H43" s="148">
        <v>60</v>
      </c>
      <c r="I43" s="148">
        <v>60</v>
      </c>
    </row>
    <row r="44" spans="1:10" s="40" customFormat="1" ht="46.8" hidden="1">
      <c r="A44" s="8">
        <v>31</v>
      </c>
      <c r="B44" s="27" t="s">
        <v>56</v>
      </c>
      <c r="C44" s="148">
        <v>66</v>
      </c>
      <c r="D44" s="148">
        <v>66</v>
      </c>
      <c r="E44" s="148">
        <v>55</v>
      </c>
      <c r="F44" s="148">
        <v>55</v>
      </c>
      <c r="G44" s="19">
        <f t="shared" ref="G44:G60" si="2">ROUND(SUM(C44:F44)/4,0)</f>
        <v>61</v>
      </c>
      <c r="H44" s="148">
        <v>55</v>
      </c>
      <c r="I44" s="148">
        <v>55</v>
      </c>
    </row>
    <row r="45" spans="1:10" s="40" customFormat="1" ht="62.4" hidden="1">
      <c r="A45" s="8">
        <v>32</v>
      </c>
      <c r="B45" s="27" t="s">
        <v>57</v>
      </c>
      <c r="C45" s="148">
        <v>61</v>
      </c>
      <c r="D45" s="148">
        <v>61</v>
      </c>
      <c r="E45" s="148">
        <v>57</v>
      </c>
      <c r="F45" s="148">
        <v>50</v>
      </c>
      <c r="G45" s="19">
        <f t="shared" si="2"/>
        <v>57</v>
      </c>
      <c r="H45" s="19">
        <v>55</v>
      </c>
      <c r="I45" s="19">
        <v>65</v>
      </c>
    </row>
    <row r="46" spans="1:10" s="40" customFormat="1" ht="46.8" hidden="1">
      <c r="A46" s="8">
        <v>33</v>
      </c>
      <c r="B46" s="27" t="s">
        <v>58</v>
      </c>
      <c r="C46" s="55">
        <f>41-1</f>
        <v>40</v>
      </c>
      <c r="D46" s="55">
        <f>41-1</f>
        <v>40</v>
      </c>
      <c r="E46" s="55">
        <v>41</v>
      </c>
      <c r="F46" s="55">
        <f>41+1+1</f>
        <v>43</v>
      </c>
      <c r="G46" s="19">
        <f t="shared" si="2"/>
        <v>41</v>
      </c>
      <c r="H46" s="147">
        <v>45</v>
      </c>
      <c r="I46" s="147">
        <v>45</v>
      </c>
    </row>
    <row r="47" spans="1:10" s="40" customFormat="1" ht="46.8" hidden="1">
      <c r="A47" s="8">
        <v>34</v>
      </c>
      <c r="B47" s="27" t="s">
        <v>59</v>
      </c>
      <c r="C47" s="148">
        <f>55-1</f>
        <v>54</v>
      </c>
      <c r="D47" s="148">
        <v>55</v>
      </c>
      <c r="E47" s="148">
        <v>53</v>
      </c>
      <c r="F47" s="148">
        <f>50+1</f>
        <v>51</v>
      </c>
      <c r="G47" s="19">
        <f t="shared" si="2"/>
        <v>53</v>
      </c>
      <c r="H47" s="148">
        <v>48</v>
      </c>
      <c r="I47" s="148">
        <v>47</v>
      </c>
    </row>
    <row r="48" spans="1:10" s="40" customFormat="1" ht="62.4" hidden="1">
      <c r="A48" s="8">
        <v>35</v>
      </c>
      <c r="B48" s="27" t="s">
        <v>60</v>
      </c>
      <c r="C48" s="148">
        <v>27</v>
      </c>
      <c r="D48" s="148">
        <v>27</v>
      </c>
      <c r="E48" s="148">
        <v>29</v>
      </c>
      <c r="F48" s="148">
        <v>32</v>
      </c>
      <c r="G48" s="19">
        <f t="shared" si="2"/>
        <v>29</v>
      </c>
      <c r="H48" s="148">
        <v>29</v>
      </c>
      <c r="I48" s="148">
        <v>29</v>
      </c>
    </row>
    <row r="49" spans="1:10" s="40" customFormat="1" ht="46.8" hidden="1">
      <c r="A49" s="8">
        <v>36</v>
      </c>
      <c r="B49" s="27" t="s">
        <v>61</v>
      </c>
      <c r="C49" s="148">
        <v>56</v>
      </c>
      <c r="D49" s="148">
        <v>56</v>
      </c>
      <c r="E49" s="148">
        <v>55</v>
      </c>
      <c r="F49" s="148">
        <v>54</v>
      </c>
      <c r="G49" s="19">
        <f t="shared" si="2"/>
        <v>55</v>
      </c>
      <c r="H49" s="148">
        <v>55</v>
      </c>
      <c r="I49" s="148">
        <v>55</v>
      </c>
    </row>
    <row r="50" spans="1:10" s="40" customFormat="1" ht="46.8" hidden="1">
      <c r="A50" s="8">
        <v>37</v>
      </c>
      <c r="B50" s="27" t="s">
        <v>62</v>
      </c>
      <c r="C50" s="148">
        <v>64</v>
      </c>
      <c r="D50" s="148">
        <f>64-1</f>
        <v>63</v>
      </c>
      <c r="E50" s="148">
        <v>62</v>
      </c>
      <c r="F50" s="148">
        <f>58+1</f>
        <v>59</v>
      </c>
      <c r="G50" s="19">
        <f t="shared" si="2"/>
        <v>62</v>
      </c>
      <c r="H50" s="148">
        <v>62</v>
      </c>
      <c r="I50" s="148">
        <v>62</v>
      </c>
    </row>
    <row r="51" spans="1:10" s="16" customFormat="1" ht="46.8" hidden="1">
      <c r="A51" s="10">
        <v>38</v>
      </c>
      <c r="B51" s="33" t="s">
        <v>128</v>
      </c>
      <c r="C51" s="13">
        <f>99-2</f>
        <v>97</v>
      </c>
      <c r="D51" s="13">
        <f>99-2</f>
        <v>97</v>
      </c>
      <c r="E51" s="13">
        <v>87</v>
      </c>
      <c r="F51" s="13">
        <f>61+2+2</f>
        <v>65</v>
      </c>
      <c r="G51" s="15">
        <f t="shared" si="2"/>
        <v>87</v>
      </c>
      <c r="H51" s="13">
        <v>61</v>
      </c>
      <c r="I51" s="13">
        <v>64</v>
      </c>
      <c r="J51" s="40"/>
    </row>
    <row r="52" spans="1:10" s="40" customFormat="1" ht="46.8" hidden="1">
      <c r="A52" s="8">
        <v>39</v>
      </c>
      <c r="B52" s="27" t="s">
        <v>63</v>
      </c>
      <c r="C52" s="148">
        <f>26-1</f>
        <v>25</v>
      </c>
      <c r="D52" s="148">
        <f>26-1</f>
        <v>25</v>
      </c>
      <c r="E52" s="148">
        <v>29</v>
      </c>
      <c r="F52" s="148">
        <f>35+1+1</f>
        <v>37</v>
      </c>
      <c r="G52" s="19">
        <f t="shared" si="2"/>
        <v>29</v>
      </c>
      <c r="H52" s="148">
        <v>40</v>
      </c>
      <c r="I52" s="148">
        <v>35</v>
      </c>
    </row>
    <row r="53" spans="1:10" s="16" customFormat="1" ht="46.8" hidden="1">
      <c r="A53" s="10">
        <v>40</v>
      </c>
      <c r="B53" s="33" t="s">
        <v>21</v>
      </c>
      <c r="C53" s="50">
        <f>11-1</f>
        <v>10</v>
      </c>
      <c r="D53" s="50">
        <f>11-1</f>
        <v>10</v>
      </c>
      <c r="E53" s="50">
        <v>11</v>
      </c>
      <c r="F53" s="50">
        <f>12+1+1</f>
        <v>14</v>
      </c>
      <c r="G53" s="15">
        <f t="shared" si="2"/>
        <v>11</v>
      </c>
      <c r="H53" s="38">
        <v>12</v>
      </c>
      <c r="I53" s="38">
        <v>12</v>
      </c>
      <c r="J53" s="40"/>
    </row>
    <row r="54" spans="1:10" s="40" customFormat="1" ht="62.4" hidden="1">
      <c r="A54" s="8">
        <v>41</v>
      </c>
      <c r="B54" s="27" t="s">
        <v>64</v>
      </c>
      <c r="C54" s="148">
        <f>49-2</f>
        <v>47</v>
      </c>
      <c r="D54" s="148">
        <f>49-2</f>
        <v>47</v>
      </c>
      <c r="E54" s="148">
        <v>50</v>
      </c>
      <c r="F54" s="148">
        <f>51+2+2</f>
        <v>55</v>
      </c>
      <c r="G54" s="19">
        <f t="shared" si="2"/>
        <v>50</v>
      </c>
      <c r="H54" s="148">
        <v>50</v>
      </c>
      <c r="I54" s="148">
        <v>44</v>
      </c>
    </row>
    <row r="55" spans="1:10" s="40" customFormat="1" ht="62.4" hidden="1">
      <c r="A55" s="8">
        <v>42</v>
      </c>
      <c r="B55" s="27" t="s">
        <v>65</v>
      </c>
      <c r="C55" s="148">
        <v>73</v>
      </c>
      <c r="D55" s="148">
        <v>73</v>
      </c>
      <c r="E55" s="148">
        <v>72</v>
      </c>
      <c r="F55" s="148">
        <v>69</v>
      </c>
      <c r="G55" s="19">
        <f t="shared" si="2"/>
        <v>72</v>
      </c>
      <c r="H55" s="148">
        <v>69</v>
      </c>
      <c r="I55" s="148">
        <v>69</v>
      </c>
    </row>
    <row r="56" spans="1:10" s="40" customFormat="1" ht="46.8" hidden="1">
      <c r="A56" s="8">
        <v>43</v>
      </c>
      <c r="B56" s="27" t="s">
        <v>66</v>
      </c>
      <c r="C56" s="148">
        <f>107+1</f>
        <v>108</v>
      </c>
      <c r="D56" s="148">
        <f>107+1</f>
        <v>108</v>
      </c>
      <c r="E56" s="148">
        <v>111</v>
      </c>
      <c r="F56" s="148">
        <f>118-1-1</f>
        <v>116</v>
      </c>
      <c r="G56" s="19">
        <f t="shared" si="2"/>
        <v>111</v>
      </c>
      <c r="H56" s="148">
        <v>112</v>
      </c>
      <c r="I56" s="148">
        <v>100</v>
      </c>
    </row>
    <row r="57" spans="1:10" s="40" customFormat="1" ht="62.4" hidden="1">
      <c r="A57" s="8">
        <v>44</v>
      </c>
      <c r="B57" s="27" t="s">
        <v>67</v>
      </c>
      <c r="C57" s="148">
        <f>53+1</f>
        <v>54</v>
      </c>
      <c r="D57" s="148">
        <f>53+1</f>
        <v>54</v>
      </c>
      <c r="E57" s="148">
        <v>55</v>
      </c>
      <c r="F57" s="148">
        <f>60-1-1</f>
        <v>58</v>
      </c>
      <c r="G57" s="19">
        <f t="shared" si="2"/>
        <v>55</v>
      </c>
      <c r="H57" s="148">
        <v>60</v>
      </c>
      <c r="I57" s="148">
        <v>60</v>
      </c>
    </row>
    <row r="58" spans="1:10" s="40" customFormat="1" ht="62.4" hidden="1">
      <c r="A58" s="8">
        <v>45</v>
      </c>
      <c r="B58" s="27" t="s">
        <v>68</v>
      </c>
      <c r="C58" s="148">
        <f>37+2</f>
        <v>39</v>
      </c>
      <c r="D58" s="148">
        <f>37+2</f>
        <v>39</v>
      </c>
      <c r="E58" s="148">
        <v>34</v>
      </c>
      <c r="F58" s="148">
        <f>29-2-2</f>
        <v>25</v>
      </c>
      <c r="G58" s="19">
        <f t="shared" si="2"/>
        <v>34</v>
      </c>
      <c r="H58" s="148">
        <v>29</v>
      </c>
      <c r="I58" s="148">
        <v>29</v>
      </c>
    </row>
    <row r="59" spans="1:10" s="40" customFormat="1" ht="62.4" hidden="1">
      <c r="A59" s="8">
        <v>46</v>
      </c>
      <c r="B59" s="27" t="s">
        <v>22</v>
      </c>
      <c r="C59" s="148">
        <f>36+1</f>
        <v>37</v>
      </c>
      <c r="D59" s="148">
        <f>36+1</f>
        <v>37</v>
      </c>
      <c r="E59" s="148">
        <v>40</v>
      </c>
      <c r="F59" s="148">
        <f>47-1-1</f>
        <v>45</v>
      </c>
      <c r="G59" s="19">
        <f t="shared" si="2"/>
        <v>40</v>
      </c>
      <c r="H59" s="19">
        <v>47</v>
      </c>
      <c r="I59" s="19">
        <v>47</v>
      </c>
    </row>
    <row r="60" spans="1:10" s="40" customFormat="1" ht="62.4" hidden="1">
      <c r="A60" s="8">
        <v>47</v>
      </c>
      <c r="B60" s="27" t="s">
        <v>69</v>
      </c>
      <c r="C60" s="148">
        <f>49+1</f>
        <v>50</v>
      </c>
      <c r="D60" s="148">
        <f>49+1</f>
        <v>50</v>
      </c>
      <c r="E60" s="148">
        <v>47</v>
      </c>
      <c r="F60" s="148">
        <f>42-1-1</f>
        <v>40</v>
      </c>
      <c r="G60" s="19">
        <f t="shared" si="2"/>
        <v>47</v>
      </c>
      <c r="H60" s="148">
        <v>48</v>
      </c>
      <c r="I60" s="148">
        <v>47</v>
      </c>
    </row>
    <row r="61" spans="1:10" s="40" customFormat="1" ht="62.4" hidden="1">
      <c r="A61" s="8">
        <v>48</v>
      </c>
      <c r="B61" s="27" t="s">
        <v>70</v>
      </c>
      <c r="C61" s="148">
        <v>75</v>
      </c>
      <c r="D61" s="148">
        <v>75</v>
      </c>
      <c r="E61" s="148">
        <v>60</v>
      </c>
      <c r="F61" s="148">
        <v>60</v>
      </c>
      <c r="G61" s="19">
        <v>67.400000000000006</v>
      </c>
      <c r="H61" s="148">
        <v>50</v>
      </c>
      <c r="I61" s="148">
        <v>50</v>
      </c>
    </row>
    <row r="62" spans="1:10" s="16" customFormat="1" ht="46.8" hidden="1">
      <c r="A62" s="10">
        <v>49</v>
      </c>
      <c r="B62" s="33" t="s">
        <v>71</v>
      </c>
      <c r="C62" s="13">
        <f>143-3</f>
        <v>140</v>
      </c>
      <c r="D62" s="13">
        <f>143-2</f>
        <v>141</v>
      </c>
      <c r="E62" s="13">
        <v>134</v>
      </c>
      <c r="F62" s="13">
        <f>116+3+2</f>
        <v>121</v>
      </c>
      <c r="G62" s="15">
        <f t="shared" ref="G62:G73" si="3">ROUND(SUM(C62:F62)/4,0)</f>
        <v>134</v>
      </c>
      <c r="H62" s="13">
        <v>110</v>
      </c>
      <c r="I62" s="13">
        <v>110</v>
      </c>
      <c r="J62" s="40"/>
    </row>
    <row r="63" spans="1:10" s="16" customFormat="1" ht="46.8" hidden="1">
      <c r="A63" s="10">
        <v>50</v>
      </c>
      <c r="B63" s="33" t="s">
        <v>129</v>
      </c>
      <c r="C63" s="13">
        <v>145</v>
      </c>
      <c r="D63" s="13">
        <v>145</v>
      </c>
      <c r="E63" s="13">
        <v>144</v>
      </c>
      <c r="F63" s="13">
        <v>143</v>
      </c>
      <c r="G63" s="15">
        <f t="shared" si="3"/>
        <v>144</v>
      </c>
      <c r="H63" s="13">
        <v>144</v>
      </c>
      <c r="I63" s="13">
        <v>144</v>
      </c>
      <c r="J63" s="40"/>
    </row>
    <row r="64" spans="1:10" s="16" customFormat="1" ht="46.8" hidden="1">
      <c r="A64" s="10">
        <v>51</v>
      </c>
      <c r="B64" s="33" t="s">
        <v>130</v>
      </c>
      <c r="C64" s="13">
        <f>250-5</f>
        <v>245</v>
      </c>
      <c r="D64" s="13">
        <f>250-24</f>
        <v>226</v>
      </c>
      <c r="E64" s="13">
        <v>250</v>
      </c>
      <c r="F64" s="13">
        <f>250+5+24</f>
        <v>279</v>
      </c>
      <c r="G64" s="15">
        <f t="shared" si="3"/>
        <v>250</v>
      </c>
      <c r="H64" s="13">
        <v>160</v>
      </c>
      <c r="I64" s="13">
        <v>160</v>
      </c>
      <c r="J64" s="40"/>
    </row>
    <row r="65" spans="1:10" s="40" customFormat="1" ht="62.4" hidden="1">
      <c r="A65" s="8">
        <v>52</v>
      </c>
      <c r="B65" s="27" t="s">
        <v>73</v>
      </c>
      <c r="C65" s="148">
        <f>56-1</f>
        <v>55</v>
      </c>
      <c r="D65" s="148">
        <f>56-1</f>
        <v>55</v>
      </c>
      <c r="E65" s="148">
        <v>56</v>
      </c>
      <c r="F65" s="148">
        <f>55+1+1</f>
        <v>57</v>
      </c>
      <c r="G65" s="19">
        <f t="shared" si="3"/>
        <v>56</v>
      </c>
      <c r="H65" s="148">
        <v>56</v>
      </c>
      <c r="I65" s="148">
        <v>56</v>
      </c>
    </row>
    <row r="66" spans="1:10" s="16" customFormat="1" ht="46.8" hidden="1">
      <c r="A66" s="10">
        <v>53</v>
      </c>
      <c r="B66" s="33" t="s">
        <v>131</v>
      </c>
      <c r="C66" s="13">
        <v>66</v>
      </c>
      <c r="D66" s="13">
        <v>66</v>
      </c>
      <c r="E66" s="13">
        <v>66</v>
      </c>
      <c r="F66" s="13">
        <v>66</v>
      </c>
      <c r="G66" s="15">
        <f t="shared" si="3"/>
        <v>66</v>
      </c>
      <c r="H66" s="13">
        <v>150</v>
      </c>
      <c r="I66" s="13">
        <v>150</v>
      </c>
      <c r="J66" s="40"/>
    </row>
    <row r="67" spans="1:10" s="16" customFormat="1" ht="46.8" hidden="1">
      <c r="A67" s="10">
        <v>54</v>
      </c>
      <c r="B67" s="33" t="s">
        <v>74</v>
      </c>
      <c r="C67" s="13">
        <v>94</v>
      </c>
      <c r="D67" s="13">
        <f>94-1</f>
        <v>93</v>
      </c>
      <c r="E67" s="13">
        <v>90</v>
      </c>
      <c r="F67" s="13">
        <f>90+1</f>
        <v>91</v>
      </c>
      <c r="G67" s="15">
        <f t="shared" si="3"/>
        <v>92</v>
      </c>
      <c r="H67" s="13">
        <v>90</v>
      </c>
      <c r="I67" s="13">
        <v>90</v>
      </c>
      <c r="J67" s="40"/>
    </row>
    <row r="68" spans="1:10" s="16" customFormat="1" ht="62.4" hidden="1">
      <c r="A68" s="10">
        <v>55</v>
      </c>
      <c r="B68" s="33" t="s">
        <v>75</v>
      </c>
      <c r="C68" s="13">
        <f>153+1</f>
        <v>154</v>
      </c>
      <c r="D68" s="13">
        <v>153</v>
      </c>
      <c r="E68" s="13">
        <v>150</v>
      </c>
      <c r="F68" s="13">
        <f>150-1</f>
        <v>149</v>
      </c>
      <c r="G68" s="15">
        <f t="shared" si="3"/>
        <v>152</v>
      </c>
      <c r="H68" s="13">
        <v>150</v>
      </c>
      <c r="I68" s="13">
        <v>150</v>
      </c>
      <c r="J68" s="40"/>
    </row>
    <row r="69" spans="1:10" s="16" customFormat="1" ht="46.8" hidden="1">
      <c r="A69" s="10">
        <v>56</v>
      </c>
      <c r="B69" s="33" t="s">
        <v>141</v>
      </c>
      <c r="C69" s="13">
        <v>210</v>
      </c>
      <c r="D69" s="13">
        <v>210</v>
      </c>
      <c r="E69" s="13">
        <v>210</v>
      </c>
      <c r="F69" s="13">
        <v>210</v>
      </c>
      <c r="G69" s="15">
        <f t="shared" si="3"/>
        <v>210</v>
      </c>
      <c r="H69" s="13">
        <v>210</v>
      </c>
      <c r="I69" s="13">
        <v>210</v>
      </c>
      <c r="J69" s="40"/>
    </row>
    <row r="70" spans="1:10" s="16" customFormat="1" ht="46.8" hidden="1">
      <c r="A70" s="10">
        <v>57</v>
      </c>
      <c r="B70" s="33" t="s">
        <v>132</v>
      </c>
      <c r="C70" s="13">
        <f>229+1</f>
        <v>230</v>
      </c>
      <c r="D70" s="13">
        <f>229+1</f>
        <v>230</v>
      </c>
      <c r="E70" s="13">
        <v>230</v>
      </c>
      <c r="F70" s="13">
        <f>231-1-1</f>
        <v>229</v>
      </c>
      <c r="G70" s="15">
        <f t="shared" si="3"/>
        <v>230</v>
      </c>
      <c r="H70" s="13">
        <v>235</v>
      </c>
      <c r="I70" s="13">
        <v>240</v>
      </c>
      <c r="J70" s="40"/>
    </row>
    <row r="71" spans="1:10" s="16" customFormat="1" ht="46.8" hidden="1">
      <c r="A71" s="10">
        <v>58</v>
      </c>
      <c r="B71" s="33" t="s">
        <v>76</v>
      </c>
      <c r="C71" s="13">
        <f>214-3</f>
        <v>211</v>
      </c>
      <c r="D71" s="13">
        <f>214-4</f>
        <v>210</v>
      </c>
      <c r="E71" s="13">
        <v>213</v>
      </c>
      <c r="F71" s="13">
        <f>211+3+4</f>
        <v>218</v>
      </c>
      <c r="G71" s="15">
        <f t="shared" si="3"/>
        <v>213</v>
      </c>
      <c r="H71" s="13">
        <v>211</v>
      </c>
      <c r="I71" s="13">
        <v>211</v>
      </c>
      <c r="J71" s="40"/>
    </row>
    <row r="72" spans="1:10" s="40" customFormat="1" ht="46.8" hidden="1">
      <c r="A72" s="8">
        <v>59</v>
      </c>
      <c r="B72" s="27" t="s">
        <v>77</v>
      </c>
      <c r="C72" s="148">
        <f>145+2</f>
        <v>147</v>
      </c>
      <c r="D72" s="148">
        <v>145</v>
      </c>
      <c r="E72" s="148">
        <v>147</v>
      </c>
      <c r="F72" s="148">
        <f>150-2</f>
        <v>148</v>
      </c>
      <c r="G72" s="19">
        <f t="shared" si="3"/>
        <v>147</v>
      </c>
      <c r="H72" s="148">
        <v>150</v>
      </c>
      <c r="I72" s="148">
        <v>150</v>
      </c>
    </row>
    <row r="73" spans="1:10" s="40" customFormat="1" ht="46.8" hidden="1">
      <c r="A73" s="8">
        <v>60</v>
      </c>
      <c r="B73" s="27" t="s">
        <v>78</v>
      </c>
      <c r="C73" s="148">
        <v>32</v>
      </c>
      <c r="D73" s="148">
        <v>32</v>
      </c>
      <c r="E73" s="148">
        <v>30</v>
      </c>
      <c r="F73" s="148">
        <v>30</v>
      </c>
      <c r="G73" s="19">
        <f t="shared" si="3"/>
        <v>31</v>
      </c>
      <c r="H73" s="148">
        <v>30</v>
      </c>
      <c r="I73" s="148">
        <v>30</v>
      </c>
    </row>
    <row r="74" spans="1:10" s="40" customFormat="1" ht="46.8" hidden="1">
      <c r="A74" s="8">
        <v>61</v>
      </c>
      <c r="B74" s="18" t="s">
        <v>142</v>
      </c>
      <c r="C74" s="148">
        <v>7</v>
      </c>
      <c r="D74" s="148">
        <v>7</v>
      </c>
      <c r="E74" s="148">
        <v>8</v>
      </c>
      <c r="F74" s="148">
        <v>8</v>
      </c>
      <c r="G74" s="19">
        <v>7.4</v>
      </c>
      <c r="H74" s="19">
        <v>8</v>
      </c>
      <c r="I74" s="19">
        <v>8</v>
      </c>
    </row>
    <row r="75" spans="1:10" s="40" customFormat="1" ht="62.4" hidden="1">
      <c r="A75" s="8">
        <v>62</v>
      </c>
      <c r="B75" s="27" t="s">
        <v>84</v>
      </c>
      <c r="C75" s="148">
        <v>4</v>
      </c>
      <c r="D75" s="148">
        <v>4</v>
      </c>
      <c r="E75" s="148">
        <v>4</v>
      </c>
      <c r="F75" s="148">
        <v>0</v>
      </c>
      <c r="G75" s="19">
        <f t="shared" ref="G75:G86" si="4">ROUND(SUM(C75:F75)/4,0)</f>
        <v>3</v>
      </c>
      <c r="H75" s="148">
        <v>0</v>
      </c>
      <c r="I75" s="148">
        <v>0</v>
      </c>
    </row>
    <row r="76" spans="1:10" s="16" customFormat="1" ht="78" hidden="1">
      <c r="A76" s="10">
        <v>63</v>
      </c>
      <c r="B76" s="33" t="s">
        <v>85</v>
      </c>
      <c r="C76" s="13">
        <v>20</v>
      </c>
      <c r="D76" s="13">
        <v>20</v>
      </c>
      <c r="E76" s="13">
        <v>20</v>
      </c>
      <c r="F76" s="13">
        <v>20</v>
      </c>
      <c r="G76" s="15">
        <f t="shared" si="4"/>
        <v>20</v>
      </c>
      <c r="H76" s="15">
        <v>20</v>
      </c>
      <c r="I76" s="15">
        <v>20</v>
      </c>
      <c r="J76" s="40"/>
    </row>
    <row r="77" spans="1:10" s="16" customFormat="1" ht="93.6" hidden="1">
      <c r="A77" s="10">
        <v>64</v>
      </c>
      <c r="B77" s="33" t="s">
        <v>86</v>
      </c>
      <c r="C77" s="13">
        <v>26</v>
      </c>
      <c r="D77" s="13">
        <v>26</v>
      </c>
      <c r="E77" s="13">
        <v>26</v>
      </c>
      <c r="F77" s="13">
        <v>26</v>
      </c>
      <c r="G77" s="15">
        <f t="shared" si="4"/>
        <v>26</v>
      </c>
      <c r="H77" s="15">
        <v>26</v>
      </c>
      <c r="I77" s="15">
        <v>26</v>
      </c>
      <c r="J77" s="40"/>
    </row>
    <row r="78" spans="1:10" s="40" customFormat="1" ht="62.4" hidden="1">
      <c r="A78" s="8">
        <v>65</v>
      </c>
      <c r="B78" s="27" t="s">
        <v>100</v>
      </c>
      <c r="C78" s="148">
        <f>9+1</f>
        <v>10</v>
      </c>
      <c r="D78" s="148">
        <f>9+1</f>
        <v>10</v>
      </c>
      <c r="E78" s="148">
        <v>12</v>
      </c>
      <c r="F78" s="148">
        <f>17-1-1</f>
        <v>15</v>
      </c>
      <c r="G78" s="19">
        <f t="shared" si="4"/>
        <v>12</v>
      </c>
      <c r="H78" s="148">
        <v>12</v>
      </c>
      <c r="I78" s="148">
        <v>12</v>
      </c>
    </row>
    <row r="79" spans="1:10" s="16" customFormat="1" ht="78" hidden="1">
      <c r="A79" s="10">
        <v>66</v>
      </c>
      <c r="B79" s="33" t="s">
        <v>103</v>
      </c>
      <c r="C79" s="13">
        <v>7</v>
      </c>
      <c r="D79" s="13">
        <v>7</v>
      </c>
      <c r="E79" s="13">
        <v>13</v>
      </c>
      <c r="F79" s="13">
        <v>13</v>
      </c>
      <c r="G79" s="15">
        <f t="shared" si="4"/>
        <v>10</v>
      </c>
      <c r="H79" s="15">
        <v>10</v>
      </c>
      <c r="I79" s="15">
        <v>8</v>
      </c>
      <c r="J79" s="40"/>
    </row>
    <row r="80" spans="1:10" s="40" customFormat="1" ht="62.4" hidden="1">
      <c r="A80" s="8">
        <v>67</v>
      </c>
      <c r="B80" s="27" t="s">
        <v>104</v>
      </c>
      <c r="C80" s="148">
        <v>12</v>
      </c>
      <c r="D80" s="148">
        <v>12</v>
      </c>
      <c r="E80" s="148">
        <v>11</v>
      </c>
      <c r="F80" s="148">
        <v>11</v>
      </c>
      <c r="G80" s="19">
        <f t="shared" si="4"/>
        <v>12</v>
      </c>
      <c r="H80" s="19">
        <v>11</v>
      </c>
      <c r="I80" s="19">
        <v>11</v>
      </c>
    </row>
    <row r="81" spans="1:9" s="40" customFormat="1" ht="62.4">
      <c r="A81" s="191">
        <v>68</v>
      </c>
      <c r="B81" s="186" t="s">
        <v>105</v>
      </c>
      <c r="C81" s="187">
        <v>1</v>
      </c>
      <c r="D81" s="187">
        <v>1</v>
      </c>
      <c r="E81" s="187">
        <v>1</v>
      </c>
      <c r="F81" s="187">
        <v>1</v>
      </c>
      <c r="G81" s="188">
        <f t="shared" si="4"/>
        <v>1</v>
      </c>
      <c r="H81" s="188">
        <v>1</v>
      </c>
      <c r="I81" s="188">
        <v>0</v>
      </c>
    </row>
    <row r="82" spans="1:9" s="40" customFormat="1" ht="78" hidden="1">
      <c r="A82" s="8">
        <v>69</v>
      </c>
      <c r="B82" s="27" t="s">
        <v>107</v>
      </c>
      <c r="C82" s="148">
        <v>0</v>
      </c>
      <c r="D82" s="148">
        <v>0</v>
      </c>
      <c r="E82" s="148">
        <v>4</v>
      </c>
      <c r="F82" s="148">
        <v>12</v>
      </c>
      <c r="G82" s="19">
        <f t="shared" si="4"/>
        <v>4</v>
      </c>
      <c r="H82" s="19">
        <v>8</v>
      </c>
      <c r="I82" s="19">
        <v>4</v>
      </c>
    </row>
    <row r="83" spans="1:9" s="40" customFormat="1" ht="62.4" hidden="1">
      <c r="A83" s="8">
        <v>70</v>
      </c>
      <c r="B83" s="27" t="s">
        <v>27</v>
      </c>
      <c r="C83" s="148">
        <v>18</v>
      </c>
      <c r="D83" s="148">
        <v>18</v>
      </c>
      <c r="E83" s="148">
        <v>18</v>
      </c>
      <c r="F83" s="148">
        <v>18</v>
      </c>
      <c r="G83" s="19">
        <f t="shared" si="4"/>
        <v>18</v>
      </c>
      <c r="H83" s="148">
        <v>18</v>
      </c>
      <c r="I83" s="148">
        <v>18</v>
      </c>
    </row>
    <row r="84" spans="1:9" s="40" customFormat="1" ht="62.4" hidden="1">
      <c r="A84" s="8">
        <v>71</v>
      </c>
      <c r="B84" s="27" t="s">
        <v>110</v>
      </c>
      <c r="C84" s="148">
        <v>25</v>
      </c>
      <c r="D84" s="148">
        <v>25</v>
      </c>
      <c r="E84" s="148">
        <v>26</v>
      </c>
      <c r="F84" s="148">
        <v>28</v>
      </c>
      <c r="G84" s="19">
        <f t="shared" si="4"/>
        <v>26</v>
      </c>
      <c r="H84" s="148">
        <v>26</v>
      </c>
      <c r="I84" s="148">
        <v>24</v>
      </c>
    </row>
    <row r="85" spans="1:9" s="40" customFormat="1" ht="62.4" hidden="1">
      <c r="A85" s="8">
        <v>72</v>
      </c>
      <c r="B85" s="27" t="s">
        <v>111</v>
      </c>
      <c r="C85" s="148">
        <v>42</v>
      </c>
      <c r="D85" s="148">
        <v>42</v>
      </c>
      <c r="E85" s="148">
        <v>42</v>
      </c>
      <c r="F85" s="148">
        <v>42</v>
      </c>
      <c r="G85" s="19">
        <f t="shared" si="4"/>
        <v>42</v>
      </c>
      <c r="H85" s="148">
        <v>37</v>
      </c>
      <c r="I85" s="148">
        <v>27</v>
      </c>
    </row>
    <row r="86" spans="1:9" s="40" customFormat="1" ht="67.5" hidden="1" customHeight="1">
      <c r="A86" s="8">
        <v>73</v>
      </c>
      <c r="B86" s="27" t="s">
        <v>112</v>
      </c>
      <c r="C86" s="148">
        <v>36</v>
      </c>
      <c r="D86" s="148">
        <v>36</v>
      </c>
      <c r="E86" s="148">
        <v>36</v>
      </c>
      <c r="F86" s="148">
        <v>36</v>
      </c>
      <c r="G86" s="19">
        <f t="shared" si="4"/>
        <v>36</v>
      </c>
      <c r="H86" s="148">
        <v>26</v>
      </c>
      <c r="I86" s="148">
        <v>21</v>
      </c>
    </row>
    <row r="87" spans="1:9" s="40" customFormat="1" ht="67.5" hidden="1" customHeight="1">
      <c r="A87" s="8">
        <v>74</v>
      </c>
      <c r="B87" s="27" t="s">
        <v>511</v>
      </c>
      <c r="C87" s="148">
        <v>0</v>
      </c>
      <c r="D87" s="148">
        <v>17</v>
      </c>
      <c r="E87" s="148">
        <v>16</v>
      </c>
      <c r="F87" s="148">
        <v>16</v>
      </c>
      <c r="G87" s="19">
        <f>ROUND(SUM(C87:F87)/4,0)</f>
        <v>12</v>
      </c>
      <c r="H87" s="148">
        <v>0</v>
      </c>
      <c r="I87" s="148">
        <v>0</v>
      </c>
    </row>
    <row r="88" spans="1:9" s="40" customFormat="1" ht="15.6">
      <c r="A88" s="58"/>
      <c r="B88" s="59" t="s">
        <v>28</v>
      </c>
      <c r="C88" s="60">
        <f>SUM(C14:C87)</f>
        <v>4685</v>
      </c>
      <c r="D88" s="60">
        <f>SUM(D14:D87)</f>
        <v>4640</v>
      </c>
      <c r="E88" s="60">
        <f>SUM(E14:E87)</f>
        <v>4662</v>
      </c>
      <c r="F88" s="60">
        <f>SUM(F14:F87)</f>
        <v>4725</v>
      </c>
      <c r="G88" s="19">
        <f>ROUND(SUM(C88:F88)/4,0)</f>
        <v>4678</v>
      </c>
      <c r="H88" s="61">
        <f>SUM(H14:H87)</f>
        <v>4493</v>
      </c>
      <c r="I88" s="61">
        <f>SUM(I14:I87)</f>
        <v>4456</v>
      </c>
    </row>
    <row r="89" spans="1:9" ht="15.6">
      <c r="A89" s="70"/>
      <c r="B89" s="71"/>
      <c r="C89" s="72"/>
      <c r="D89" s="72"/>
      <c r="E89" s="72"/>
      <c r="F89" s="72"/>
      <c r="G89" s="73"/>
      <c r="H89" s="74"/>
      <c r="I89" s="72"/>
    </row>
    <row r="91" spans="1:9" ht="15.6">
      <c r="A91" s="174" t="s">
        <v>113</v>
      </c>
      <c r="B91" s="174"/>
      <c r="C91" s="174"/>
      <c r="D91" s="174"/>
      <c r="E91" s="174"/>
      <c r="F91" s="174"/>
      <c r="G91" s="174"/>
      <c r="H91" s="174"/>
      <c r="I91" s="174"/>
    </row>
  </sheetData>
  <sheetProtection selectLockedCells="1" selectUnlockedCells="1"/>
  <autoFilter ref="B1:B91"/>
  <mergeCells count="5">
    <mergeCell ref="A10:I10"/>
    <mergeCell ref="A12:A13"/>
    <mergeCell ref="B12:B13"/>
    <mergeCell ref="C12:I12"/>
    <mergeCell ref="A91:I91"/>
  </mergeCells>
  <pageMargins left="0.78749999999999998" right="0.39374999999999999" top="0.74791666666666667" bottom="0.39374999999999999" header="0.51180555555555551" footer="0.51180555555555551"/>
  <pageSetup paperSize="9" scale="62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I67"/>
  <sheetViews>
    <sheetView view="pageBreakPreview" zoomScaleSheetLayoutView="100" workbookViewId="0">
      <pane xSplit="2" ySplit="12" topLeftCell="C59" activePane="bottomRight" state="frozen"/>
      <selection pane="topRight" activeCell="C1" sqref="C1"/>
      <selection pane="bottomLeft" activeCell="A37" sqref="A37"/>
      <selection pane="bottomRight" activeCell="A67" sqref="A67:G67"/>
    </sheetView>
  </sheetViews>
  <sheetFormatPr defaultRowHeight="15.6"/>
  <cols>
    <col min="1" max="1" width="5.109375" style="66" customWidth="1"/>
    <col min="2" max="2" width="63" style="66" customWidth="1"/>
    <col min="3" max="3" width="11.33203125" style="75" customWidth="1"/>
    <col min="4" max="5" width="10.109375" style="75" customWidth="1"/>
    <col min="6" max="6" width="11.33203125" style="75" customWidth="1"/>
    <col min="7" max="7" width="12.33203125" style="66" customWidth="1"/>
    <col min="8" max="8" width="12.6640625" style="76" customWidth="1"/>
    <col min="9" max="9" width="11.6640625" style="76" customWidth="1"/>
  </cols>
  <sheetData>
    <row r="1" spans="1:9" hidden="1">
      <c r="G1" s="177" t="s">
        <v>143</v>
      </c>
      <c r="H1" s="177"/>
      <c r="I1" s="177"/>
    </row>
    <row r="2" spans="1:9" hidden="1"/>
    <row r="3" spans="1:9">
      <c r="A3" s="1"/>
      <c r="B3" s="1"/>
      <c r="C3" s="1"/>
      <c r="D3" s="1"/>
      <c r="E3" s="49"/>
      <c r="F3" s="1" t="s">
        <v>144</v>
      </c>
      <c r="G3" s="1"/>
      <c r="H3" s="1"/>
      <c r="I3" s="1"/>
    </row>
    <row r="4" spans="1:9" ht="28.5" customHeight="1">
      <c r="A4" s="3" t="s">
        <v>2</v>
      </c>
      <c r="B4" s="3"/>
      <c r="C4" s="3"/>
      <c r="D4" s="3"/>
      <c r="E4" s="49"/>
      <c r="F4" s="1" t="s">
        <v>30</v>
      </c>
      <c r="G4" s="1"/>
      <c r="H4" s="1"/>
      <c r="I4" s="1"/>
    </row>
    <row r="5" spans="1:9" ht="25.5" customHeight="1">
      <c r="A5" s="3"/>
      <c r="B5" s="3"/>
      <c r="C5" s="3"/>
      <c r="D5" s="3"/>
      <c r="E5" s="49"/>
      <c r="F5" s="3" t="s">
        <v>3</v>
      </c>
      <c r="G5" s="1"/>
      <c r="H5" s="1"/>
      <c r="I5" s="1"/>
    </row>
    <row r="6" spans="1:9">
      <c r="A6" s="1"/>
      <c r="B6" s="1"/>
      <c r="C6" s="77"/>
      <c r="D6" s="77"/>
      <c r="E6" s="77"/>
      <c r="F6" s="3" t="s">
        <v>4</v>
      </c>
      <c r="G6" s="5"/>
    </row>
    <row r="7" spans="1:9">
      <c r="A7" s="4"/>
      <c r="B7" s="4"/>
      <c r="C7" s="78"/>
      <c r="D7" s="78"/>
      <c r="E7" s="78"/>
      <c r="F7" s="1" t="s">
        <v>5</v>
      </c>
      <c r="G7" s="5"/>
    </row>
    <row r="8" spans="1:9" ht="31.5" customHeight="1">
      <c r="A8" s="4"/>
      <c r="B8" s="4"/>
      <c r="C8" s="78"/>
      <c r="D8" s="78"/>
      <c r="E8" s="78"/>
      <c r="F8" s="1"/>
      <c r="G8" s="5"/>
    </row>
    <row r="9" spans="1:9" ht="46.5" customHeight="1">
      <c r="A9" s="171" t="s">
        <v>513</v>
      </c>
      <c r="B9" s="171"/>
      <c r="C9" s="171"/>
      <c r="D9" s="171"/>
      <c r="E9" s="171"/>
      <c r="F9" s="171"/>
      <c r="G9" s="171"/>
      <c r="H9" s="171"/>
      <c r="I9" s="171"/>
    </row>
    <row r="10" spans="1:9" ht="15.75" customHeight="1">
      <c r="A10" s="47"/>
      <c r="B10" s="47"/>
      <c r="C10" s="47"/>
      <c r="D10" s="47"/>
      <c r="E10" s="47"/>
      <c r="F10" s="69"/>
      <c r="G10" s="69"/>
      <c r="H10" s="69"/>
      <c r="I10" s="69"/>
    </row>
    <row r="11" spans="1:9" ht="37.5" customHeight="1">
      <c r="A11" s="172" t="s">
        <v>6</v>
      </c>
      <c r="B11" s="172" t="s">
        <v>7</v>
      </c>
      <c r="C11" s="172" t="s">
        <v>145</v>
      </c>
      <c r="D11" s="172"/>
      <c r="E11" s="172"/>
      <c r="F11" s="172"/>
      <c r="G11" s="172"/>
      <c r="H11" s="172"/>
      <c r="I11" s="172"/>
    </row>
    <row r="12" spans="1:9" ht="31.2">
      <c r="A12" s="172"/>
      <c r="B12" s="172"/>
      <c r="C12" s="9" t="s">
        <v>9</v>
      </c>
      <c r="D12" s="9" t="s">
        <v>10</v>
      </c>
      <c r="E12" s="9" t="s">
        <v>11</v>
      </c>
      <c r="F12" s="9" t="s">
        <v>12</v>
      </c>
      <c r="G12" s="9" t="s">
        <v>13</v>
      </c>
      <c r="H12" s="9" t="s">
        <v>14</v>
      </c>
      <c r="I12" s="9" t="s">
        <v>15</v>
      </c>
    </row>
    <row r="13" spans="1:9" ht="46.8">
      <c r="A13" s="79">
        <v>1</v>
      </c>
      <c r="B13" s="27" t="s">
        <v>33</v>
      </c>
      <c r="C13" s="24">
        <v>7</v>
      </c>
      <c r="D13" s="24">
        <v>7</v>
      </c>
      <c r="E13" s="24">
        <v>7</v>
      </c>
      <c r="F13" s="24">
        <v>7</v>
      </c>
      <c r="G13" s="19">
        <f>ROUND((C13+D13+E13+F13)/4,0)</f>
        <v>7</v>
      </c>
      <c r="H13" s="24">
        <v>7</v>
      </c>
      <c r="I13" s="24">
        <v>7</v>
      </c>
    </row>
    <row r="14" spans="1:9" ht="46.8">
      <c r="A14" s="79">
        <v>2</v>
      </c>
      <c r="B14" s="27" t="s">
        <v>137</v>
      </c>
      <c r="C14" s="55">
        <v>11</v>
      </c>
      <c r="D14" s="55">
        <v>11</v>
      </c>
      <c r="E14" s="55">
        <v>10</v>
      </c>
      <c r="F14" s="55">
        <v>9</v>
      </c>
      <c r="G14" s="19">
        <f>ROUND((C14+D14+E14+F14)/4,0)</f>
        <v>10</v>
      </c>
      <c r="H14" s="55">
        <v>10</v>
      </c>
      <c r="I14" s="55">
        <v>10</v>
      </c>
    </row>
    <row r="15" spans="1:9" ht="31.2">
      <c r="A15" s="79">
        <v>3</v>
      </c>
      <c r="B15" s="27" t="s">
        <v>38</v>
      </c>
      <c r="C15" s="24">
        <v>11</v>
      </c>
      <c r="D15" s="24">
        <v>11</v>
      </c>
      <c r="E15" s="24">
        <v>12</v>
      </c>
      <c r="F15" s="24">
        <v>15</v>
      </c>
      <c r="G15" s="19">
        <f>ROUND((C15+D15+E15+F15)/4,0)</f>
        <v>12</v>
      </c>
      <c r="H15" s="24">
        <v>12</v>
      </c>
      <c r="I15" s="24">
        <v>12</v>
      </c>
    </row>
    <row r="16" spans="1:9" s="16" customFormat="1" ht="46.8">
      <c r="A16" s="80">
        <v>4</v>
      </c>
      <c r="B16" s="33" t="s">
        <v>122</v>
      </c>
      <c r="C16" s="35">
        <v>215</v>
      </c>
      <c r="D16" s="35">
        <v>215</v>
      </c>
      <c r="E16" s="35">
        <v>215</v>
      </c>
      <c r="F16" s="35">
        <v>215</v>
      </c>
      <c r="G16" s="15">
        <f>ROUND((C16+D16+E16+F16)/4,0)</f>
        <v>215</v>
      </c>
      <c r="H16" s="35">
        <v>215</v>
      </c>
      <c r="I16" s="35">
        <v>215</v>
      </c>
    </row>
    <row r="17" spans="1:9" ht="31.2">
      <c r="A17" s="79">
        <v>5</v>
      </c>
      <c r="B17" s="27" t="s">
        <v>46</v>
      </c>
      <c r="C17" s="24">
        <v>17</v>
      </c>
      <c r="D17" s="24">
        <f>17+1</f>
        <v>18</v>
      </c>
      <c r="E17" s="24">
        <v>17</v>
      </c>
      <c r="F17" s="24">
        <f>15-1</f>
        <v>14</v>
      </c>
      <c r="G17" s="19">
        <v>16.399999999999999</v>
      </c>
      <c r="H17" s="21">
        <v>15</v>
      </c>
      <c r="I17" s="21">
        <v>15</v>
      </c>
    </row>
    <row r="18" spans="1:9" s="16" customFormat="1" ht="31.2">
      <c r="A18" s="80">
        <v>6</v>
      </c>
      <c r="B18" s="33" t="s">
        <v>47</v>
      </c>
      <c r="C18" s="13">
        <f>22-2</f>
        <v>20</v>
      </c>
      <c r="D18" s="13">
        <v>22</v>
      </c>
      <c r="E18" s="13">
        <v>22</v>
      </c>
      <c r="F18" s="13">
        <f>20+2</f>
        <v>22</v>
      </c>
      <c r="G18" s="15">
        <v>21.4</v>
      </c>
      <c r="H18" s="13">
        <v>20</v>
      </c>
      <c r="I18" s="13">
        <v>20</v>
      </c>
    </row>
    <row r="19" spans="1:9" s="40" customFormat="1" ht="46.8">
      <c r="A19" s="79">
        <v>7</v>
      </c>
      <c r="B19" s="27" t="s">
        <v>57</v>
      </c>
      <c r="C19" s="24">
        <v>9</v>
      </c>
      <c r="D19" s="24">
        <v>9</v>
      </c>
      <c r="E19" s="24">
        <v>8</v>
      </c>
      <c r="F19" s="24">
        <v>5</v>
      </c>
      <c r="G19" s="19">
        <f t="shared" ref="G19:G26" si="0">ROUND((C19+D19+E19+F19)/4,0)</f>
        <v>8</v>
      </c>
      <c r="H19" s="24">
        <v>5</v>
      </c>
      <c r="I19" s="24">
        <v>5</v>
      </c>
    </row>
    <row r="20" spans="1:9" s="40" customFormat="1" ht="31.2">
      <c r="A20" s="79">
        <v>8</v>
      </c>
      <c r="B20" s="27" t="s">
        <v>59</v>
      </c>
      <c r="C20" s="24">
        <v>9</v>
      </c>
      <c r="D20" s="24">
        <v>9</v>
      </c>
      <c r="E20" s="24">
        <v>7</v>
      </c>
      <c r="F20" s="24">
        <v>4</v>
      </c>
      <c r="G20" s="19">
        <f t="shared" si="0"/>
        <v>7</v>
      </c>
      <c r="H20" s="21">
        <v>2</v>
      </c>
      <c r="I20" s="21">
        <v>1</v>
      </c>
    </row>
    <row r="21" spans="1:9" s="40" customFormat="1" ht="31.2">
      <c r="A21" s="79">
        <v>9</v>
      </c>
      <c r="B21" s="27" t="s">
        <v>61</v>
      </c>
      <c r="C21" s="24">
        <v>8</v>
      </c>
      <c r="D21" s="24">
        <f>8-2</f>
        <v>6</v>
      </c>
      <c r="E21" s="24">
        <v>7</v>
      </c>
      <c r="F21" s="24">
        <f>5+2</f>
        <v>7</v>
      </c>
      <c r="G21" s="19">
        <f t="shared" si="0"/>
        <v>7</v>
      </c>
      <c r="H21" s="21">
        <v>7</v>
      </c>
      <c r="I21" s="21">
        <v>7</v>
      </c>
    </row>
    <row r="22" spans="1:9" s="16" customFormat="1" ht="31.2">
      <c r="A22" s="80">
        <v>10</v>
      </c>
      <c r="B22" s="33" t="s">
        <v>128</v>
      </c>
      <c r="C22" s="35">
        <f>31-1</f>
        <v>30</v>
      </c>
      <c r="D22" s="35">
        <f>31-1</f>
        <v>30</v>
      </c>
      <c r="E22" s="35">
        <v>28</v>
      </c>
      <c r="F22" s="35">
        <f>20+1+1</f>
        <v>22</v>
      </c>
      <c r="G22" s="15">
        <f t="shared" si="0"/>
        <v>28</v>
      </c>
      <c r="H22" s="37">
        <v>20</v>
      </c>
      <c r="I22" s="37">
        <v>20</v>
      </c>
    </row>
    <row r="23" spans="1:9" s="16" customFormat="1" ht="46.8">
      <c r="A23" s="80">
        <v>11</v>
      </c>
      <c r="B23" s="33" t="s">
        <v>21</v>
      </c>
      <c r="C23" s="50">
        <f>23+1</f>
        <v>24</v>
      </c>
      <c r="D23" s="50">
        <f>23+1</f>
        <v>24</v>
      </c>
      <c r="E23" s="50">
        <v>20</v>
      </c>
      <c r="F23" s="50">
        <f>15-1-1</f>
        <v>13</v>
      </c>
      <c r="G23" s="15">
        <f t="shared" si="0"/>
        <v>20</v>
      </c>
      <c r="H23" s="50">
        <v>15</v>
      </c>
      <c r="I23" s="50">
        <v>15</v>
      </c>
    </row>
    <row r="24" spans="1:9" s="40" customFormat="1" ht="46.8">
      <c r="A24" s="79">
        <v>12</v>
      </c>
      <c r="B24" s="27" t="s">
        <v>65</v>
      </c>
      <c r="C24" s="24">
        <v>11</v>
      </c>
      <c r="D24" s="24">
        <v>11</v>
      </c>
      <c r="E24" s="24">
        <v>12</v>
      </c>
      <c r="F24" s="24">
        <v>13</v>
      </c>
      <c r="G24" s="19">
        <f t="shared" si="0"/>
        <v>12</v>
      </c>
      <c r="H24" s="24">
        <v>13</v>
      </c>
      <c r="I24" s="24">
        <v>13</v>
      </c>
    </row>
    <row r="25" spans="1:9" s="40" customFormat="1" ht="31.2">
      <c r="A25" s="79">
        <v>13</v>
      </c>
      <c r="B25" s="27" t="s">
        <v>66</v>
      </c>
      <c r="C25" s="24">
        <v>59</v>
      </c>
      <c r="D25" s="24">
        <v>59</v>
      </c>
      <c r="E25" s="24">
        <v>61</v>
      </c>
      <c r="F25" s="24">
        <v>64</v>
      </c>
      <c r="G25" s="19">
        <f t="shared" si="0"/>
        <v>61</v>
      </c>
      <c r="H25" s="24">
        <v>64</v>
      </c>
      <c r="I25" s="24">
        <v>64</v>
      </c>
    </row>
    <row r="26" spans="1:9" s="40" customFormat="1" ht="46.8">
      <c r="A26" s="79">
        <v>14</v>
      </c>
      <c r="B26" s="27" t="s">
        <v>67</v>
      </c>
      <c r="C26" s="24">
        <v>8</v>
      </c>
      <c r="D26" s="24">
        <v>8</v>
      </c>
      <c r="E26" s="24">
        <v>8</v>
      </c>
      <c r="F26" s="24">
        <v>8</v>
      </c>
      <c r="G26" s="19">
        <f t="shared" si="0"/>
        <v>8</v>
      </c>
      <c r="H26" s="21">
        <v>8</v>
      </c>
      <c r="I26" s="21">
        <v>8</v>
      </c>
    </row>
    <row r="27" spans="1:9" s="40" customFormat="1" ht="62.4">
      <c r="A27" s="79">
        <v>15</v>
      </c>
      <c r="B27" s="27" t="s">
        <v>69</v>
      </c>
      <c r="C27" s="24">
        <f>26-2</f>
        <v>24</v>
      </c>
      <c r="D27" s="24">
        <f>20-3</f>
        <v>17</v>
      </c>
      <c r="E27" s="24">
        <v>14</v>
      </c>
      <c r="F27" s="24">
        <f>26+2+3</f>
        <v>31</v>
      </c>
      <c r="G27" s="19">
        <v>21.4</v>
      </c>
      <c r="H27" s="21">
        <v>22</v>
      </c>
      <c r="I27" s="21">
        <v>22</v>
      </c>
    </row>
    <row r="28" spans="1:9" s="40" customFormat="1" ht="46.8">
      <c r="A28" s="79">
        <v>16</v>
      </c>
      <c r="B28" s="27" t="s">
        <v>70</v>
      </c>
      <c r="C28" s="24">
        <v>18</v>
      </c>
      <c r="D28" s="24">
        <v>18</v>
      </c>
      <c r="E28" s="24">
        <v>17</v>
      </c>
      <c r="F28" s="24">
        <v>15</v>
      </c>
      <c r="G28" s="19">
        <f t="shared" ref="G28:G36" si="1">ROUND((C28+D28+E28+F28)/4,0)</f>
        <v>17</v>
      </c>
      <c r="H28" s="24">
        <v>15</v>
      </c>
      <c r="I28" s="24">
        <v>15</v>
      </c>
    </row>
    <row r="29" spans="1:9" s="40" customFormat="1" ht="46.8">
      <c r="A29" s="79">
        <v>17</v>
      </c>
      <c r="B29" s="27" t="s">
        <v>80</v>
      </c>
      <c r="C29" s="24">
        <v>28</v>
      </c>
      <c r="D29" s="24">
        <v>28</v>
      </c>
      <c r="E29" s="24">
        <v>28</v>
      </c>
      <c r="F29" s="24">
        <v>28</v>
      </c>
      <c r="G29" s="19">
        <f t="shared" si="1"/>
        <v>28</v>
      </c>
      <c r="H29" s="21">
        <v>28</v>
      </c>
      <c r="I29" s="21">
        <v>28</v>
      </c>
    </row>
    <row r="30" spans="1:9" s="40" customFormat="1" ht="62.4">
      <c r="A30" s="79">
        <v>18</v>
      </c>
      <c r="B30" s="27" t="s">
        <v>81</v>
      </c>
      <c r="C30" s="24">
        <v>61</v>
      </c>
      <c r="D30" s="24">
        <f>61+1</f>
        <v>62</v>
      </c>
      <c r="E30" s="24">
        <v>59</v>
      </c>
      <c r="F30" s="24">
        <f>54-1</f>
        <v>53</v>
      </c>
      <c r="G30" s="19">
        <f t="shared" si="1"/>
        <v>59</v>
      </c>
      <c r="H30" s="21">
        <v>56</v>
      </c>
      <c r="I30" s="21">
        <v>54</v>
      </c>
    </row>
    <row r="31" spans="1:9" s="40" customFormat="1" ht="62.4">
      <c r="A31" s="79">
        <v>19</v>
      </c>
      <c r="B31" s="27" t="s">
        <v>82</v>
      </c>
      <c r="C31" s="24">
        <v>63</v>
      </c>
      <c r="D31" s="24">
        <v>63</v>
      </c>
      <c r="E31" s="24">
        <v>60</v>
      </c>
      <c r="F31" s="24">
        <v>54</v>
      </c>
      <c r="G31" s="19">
        <f t="shared" si="1"/>
        <v>60</v>
      </c>
      <c r="H31" s="21">
        <v>60</v>
      </c>
      <c r="I31" s="21">
        <v>60</v>
      </c>
    </row>
    <row r="32" spans="1:9" s="40" customFormat="1" ht="62.4">
      <c r="A32" s="79">
        <v>20</v>
      </c>
      <c r="B32" s="27" t="s">
        <v>83</v>
      </c>
      <c r="C32" s="24">
        <v>70</v>
      </c>
      <c r="D32" s="24">
        <v>70</v>
      </c>
      <c r="E32" s="24">
        <v>70</v>
      </c>
      <c r="F32" s="24">
        <v>70</v>
      </c>
      <c r="G32" s="19">
        <f t="shared" si="1"/>
        <v>70</v>
      </c>
      <c r="H32" s="21">
        <v>70</v>
      </c>
      <c r="I32" s="21">
        <v>70</v>
      </c>
    </row>
    <row r="33" spans="1:9" s="16" customFormat="1" ht="62.4">
      <c r="A33" s="80">
        <v>21</v>
      </c>
      <c r="B33" s="33" t="s">
        <v>85</v>
      </c>
      <c r="C33" s="35">
        <v>120</v>
      </c>
      <c r="D33" s="35">
        <v>120</v>
      </c>
      <c r="E33" s="35">
        <v>120</v>
      </c>
      <c r="F33" s="35">
        <v>120</v>
      </c>
      <c r="G33" s="15">
        <f t="shared" si="1"/>
        <v>120</v>
      </c>
      <c r="H33" s="37">
        <v>120</v>
      </c>
      <c r="I33" s="37">
        <v>120</v>
      </c>
    </row>
    <row r="34" spans="1:9" s="16" customFormat="1" ht="78">
      <c r="A34" s="80">
        <v>22</v>
      </c>
      <c r="B34" s="33" t="s">
        <v>86</v>
      </c>
      <c r="C34" s="35">
        <v>92</v>
      </c>
      <c r="D34" s="35">
        <v>92</v>
      </c>
      <c r="E34" s="35">
        <v>92</v>
      </c>
      <c r="F34" s="35">
        <v>92</v>
      </c>
      <c r="G34" s="15">
        <f t="shared" si="1"/>
        <v>92</v>
      </c>
      <c r="H34" s="37">
        <v>92</v>
      </c>
      <c r="I34" s="37">
        <v>92</v>
      </c>
    </row>
    <row r="35" spans="1:9" s="40" customFormat="1" ht="46.8">
      <c r="A35" s="79">
        <v>23</v>
      </c>
      <c r="B35" s="27" t="s">
        <v>87</v>
      </c>
      <c r="C35" s="24">
        <v>58</v>
      </c>
      <c r="D35" s="24">
        <v>58</v>
      </c>
      <c r="E35" s="24">
        <v>58</v>
      </c>
      <c r="F35" s="24">
        <v>58</v>
      </c>
      <c r="G35" s="19">
        <f t="shared" si="1"/>
        <v>58</v>
      </c>
      <c r="H35" s="21">
        <v>58</v>
      </c>
      <c r="I35" s="21">
        <v>58</v>
      </c>
    </row>
    <row r="36" spans="1:9" s="40" customFormat="1" ht="46.8">
      <c r="A36" s="79">
        <v>24</v>
      </c>
      <c r="B36" s="27" t="s">
        <v>88</v>
      </c>
      <c r="C36" s="24">
        <v>200</v>
      </c>
      <c r="D36" s="24">
        <v>200</v>
      </c>
      <c r="E36" s="24">
        <v>191</v>
      </c>
      <c r="F36" s="24">
        <v>200</v>
      </c>
      <c r="G36" s="19">
        <f t="shared" si="1"/>
        <v>198</v>
      </c>
      <c r="H36" s="21">
        <v>200</v>
      </c>
      <c r="I36" s="21">
        <v>200</v>
      </c>
    </row>
    <row r="37" spans="1:9" s="16" customFormat="1" ht="78">
      <c r="A37" s="80">
        <v>25</v>
      </c>
      <c r="B37" s="33" t="s">
        <v>89</v>
      </c>
      <c r="C37" s="35">
        <f>57-3</f>
        <v>54</v>
      </c>
      <c r="D37" s="35">
        <f>57-2</f>
        <v>55</v>
      </c>
      <c r="E37" s="35">
        <v>50</v>
      </c>
      <c r="F37" s="35">
        <f>50+3+2</f>
        <v>55</v>
      </c>
      <c r="G37" s="15">
        <v>53.4</v>
      </c>
      <c r="H37" s="37">
        <v>60</v>
      </c>
      <c r="I37" s="37">
        <v>60</v>
      </c>
    </row>
    <row r="38" spans="1:9" s="16" customFormat="1" ht="62.4">
      <c r="A38" s="80">
        <v>26</v>
      </c>
      <c r="B38" s="33" t="s">
        <v>146</v>
      </c>
      <c r="C38" s="35">
        <v>24</v>
      </c>
      <c r="D38" s="35">
        <f>24+2</f>
        <v>26</v>
      </c>
      <c r="E38" s="35">
        <v>24</v>
      </c>
      <c r="F38" s="35">
        <f>24-2</f>
        <v>22</v>
      </c>
      <c r="G38" s="15">
        <f>ROUND((C38+D38+E38+F38)/4,0)</f>
        <v>24</v>
      </c>
      <c r="H38" s="37">
        <v>24</v>
      </c>
      <c r="I38" s="37">
        <v>0</v>
      </c>
    </row>
    <row r="39" spans="1:9" s="40" customFormat="1" ht="46.8">
      <c r="A39" s="79">
        <v>27</v>
      </c>
      <c r="B39" s="27" t="s">
        <v>90</v>
      </c>
      <c r="C39" s="24">
        <v>70</v>
      </c>
      <c r="D39" s="24">
        <f>70+2</f>
        <v>72</v>
      </c>
      <c r="E39" s="24">
        <v>70</v>
      </c>
      <c r="F39" s="24">
        <f>70-2</f>
        <v>68</v>
      </c>
      <c r="G39" s="19">
        <f>ROUND((C39+D39+E39+F39)/4,0)</f>
        <v>70</v>
      </c>
      <c r="H39" s="21">
        <v>70</v>
      </c>
      <c r="I39" s="21">
        <v>70</v>
      </c>
    </row>
    <row r="40" spans="1:9" s="40" customFormat="1" ht="46.8">
      <c r="A40" s="79">
        <v>28</v>
      </c>
      <c r="B40" s="27" t="s">
        <v>91</v>
      </c>
      <c r="C40" s="24">
        <v>63</v>
      </c>
      <c r="D40" s="24">
        <v>63</v>
      </c>
      <c r="E40" s="24">
        <v>63</v>
      </c>
      <c r="F40" s="24">
        <v>63</v>
      </c>
      <c r="G40" s="19">
        <f>ROUND((C40+D40+E40+F40)/4,0)</f>
        <v>63</v>
      </c>
      <c r="H40" s="21">
        <v>63</v>
      </c>
      <c r="I40" s="21">
        <v>63</v>
      </c>
    </row>
    <row r="41" spans="1:9" s="40" customFormat="1" ht="46.8">
      <c r="A41" s="79">
        <v>29</v>
      </c>
      <c r="B41" s="27" t="s">
        <v>92</v>
      </c>
      <c r="C41" s="24">
        <v>75</v>
      </c>
      <c r="D41" s="24">
        <v>75</v>
      </c>
      <c r="E41" s="24">
        <v>75</v>
      </c>
      <c r="F41" s="24">
        <v>75</v>
      </c>
      <c r="G41" s="19">
        <v>75</v>
      </c>
      <c r="H41" s="21">
        <v>75</v>
      </c>
      <c r="I41" s="21">
        <v>75</v>
      </c>
    </row>
    <row r="42" spans="1:9" s="40" customFormat="1" ht="46.8">
      <c r="A42" s="79">
        <v>30</v>
      </c>
      <c r="B42" s="27" t="s">
        <v>93</v>
      </c>
      <c r="C42" s="24">
        <f>105-2</f>
        <v>103</v>
      </c>
      <c r="D42" s="24">
        <f>105-6</f>
        <v>99</v>
      </c>
      <c r="E42" s="24">
        <v>107</v>
      </c>
      <c r="F42" s="24">
        <f>110+2+6</f>
        <v>118</v>
      </c>
      <c r="G42" s="19">
        <f>ROUND((C42+D42+E42+F42)/4,0)</f>
        <v>107</v>
      </c>
      <c r="H42" s="21">
        <v>107</v>
      </c>
      <c r="I42" s="21">
        <v>107</v>
      </c>
    </row>
    <row r="43" spans="1:9" ht="46.8">
      <c r="A43" s="80">
        <v>31</v>
      </c>
      <c r="B43" s="33" t="s">
        <v>147</v>
      </c>
      <c r="C43" s="35">
        <v>24</v>
      </c>
      <c r="D43" s="35">
        <v>24</v>
      </c>
      <c r="E43" s="35">
        <v>24</v>
      </c>
      <c r="F43" s="35">
        <v>24</v>
      </c>
      <c r="G43" s="15">
        <f>ROUND((C43+D43+E43+F43)/4,0)</f>
        <v>24</v>
      </c>
      <c r="H43" s="37">
        <v>24</v>
      </c>
      <c r="I43" s="37">
        <v>24</v>
      </c>
    </row>
    <row r="44" spans="1:9" s="40" customFormat="1" ht="62.4">
      <c r="A44" s="79">
        <v>32</v>
      </c>
      <c r="B44" s="27" t="s">
        <v>94</v>
      </c>
      <c r="C44" s="24">
        <v>77</v>
      </c>
      <c r="D44" s="24">
        <f>77-2</f>
        <v>75</v>
      </c>
      <c r="E44" s="24">
        <v>77</v>
      </c>
      <c r="F44" s="24">
        <f>75+2</f>
        <v>77</v>
      </c>
      <c r="G44" s="19">
        <v>76.400000000000006</v>
      </c>
      <c r="H44" s="21">
        <v>75</v>
      </c>
      <c r="I44" s="21">
        <v>75</v>
      </c>
    </row>
    <row r="45" spans="1:9" s="40" customFormat="1" ht="46.8">
      <c r="A45" s="79">
        <v>33</v>
      </c>
      <c r="B45" s="27" t="s">
        <v>95</v>
      </c>
      <c r="C45" s="24">
        <v>52</v>
      </c>
      <c r="D45" s="24">
        <f>49-1</f>
        <v>48</v>
      </c>
      <c r="E45" s="24">
        <v>43</v>
      </c>
      <c r="F45" s="24">
        <f>43+1</f>
        <v>44</v>
      </c>
      <c r="G45" s="19">
        <f t="shared" ref="G45:G53" si="2">ROUND((C45+D45+E45+F45)/4,0)</f>
        <v>47</v>
      </c>
      <c r="H45" s="21">
        <v>43</v>
      </c>
      <c r="I45" s="21">
        <v>43</v>
      </c>
    </row>
    <row r="46" spans="1:9" s="40" customFormat="1" ht="62.4">
      <c r="A46" s="79">
        <v>34</v>
      </c>
      <c r="B46" s="27" t="s">
        <v>96</v>
      </c>
      <c r="C46" s="24">
        <v>62</v>
      </c>
      <c r="D46" s="24">
        <v>62</v>
      </c>
      <c r="E46" s="24">
        <v>62</v>
      </c>
      <c r="F46" s="24">
        <v>62</v>
      </c>
      <c r="G46" s="19">
        <f t="shared" si="2"/>
        <v>62</v>
      </c>
      <c r="H46" s="21">
        <v>62</v>
      </c>
      <c r="I46" s="21">
        <v>62</v>
      </c>
    </row>
    <row r="47" spans="1:9" s="16" customFormat="1" ht="62.4">
      <c r="A47" s="80">
        <v>35</v>
      </c>
      <c r="B47" s="33" t="s">
        <v>148</v>
      </c>
      <c r="C47" s="35">
        <f>20+3</f>
        <v>23</v>
      </c>
      <c r="D47" s="35">
        <f>20+5</f>
        <v>25</v>
      </c>
      <c r="E47" s="35">
        <v>20</v>
      </c>
      <c r="F47" s="35">
        <f>20-3-5</f>
        <v>12</v>
      </c>
      <c r="G47" s="15">
        <f t="shared" si="2"/>
        <v>20</v>
      </c>
      <c r="H47" s="37">
        <v>20</v>
      </c>
      <c r="I47" s="37">
        <v>20</v>
      </c>
    </row>
    <row r="48" spans="1:9" s="40" customFormat="1" ht="46.8">
      <c r="A48" s="79">
        <v>36</v>
      </c>
      <c r="B48" s="27" t="s">
        <v>97</v>
      </c>
      <c r="C48" s="24">
        <f>88-3</f>
        <v>85</v>
      </c>
      <c r="D48" s="24">
        <f>88-2</f>
        <v>86</v>
      </c>
      <c r="E48" s="24">
        <v>89</v>
      </c>
      <c r="F48" s="24">
        <f>90+3+2</f>
        <v>95</v>
      </c>
      <c r="G48" s="19">
        <f t="shared" si="2"/>
        <v>89</v>
      </c>
      <c r="H48" s="21">
        <v>90</v>
      </c>
      <c r="I48" s="21">
        <v>90</v>
      </c>
    </row>
    <row r="49" spans="1:9" s="40" customFormat="1" ht="62.4">
      <c r="A49" s="79">
        <v>37</v>
      </c>
      <c r="B49" s="27" t="s">
        <v>98</v>
      </c>
      <c r="C49" s="24">
        <v>29</v>
      </c>
      <c r="D49" s="24">
        <v>27</v>
      </c>
      <c r="E49" s="24">
        <v>25</v>
      </c>
      <c r="F49" s="24">
        <v>25</v>
      </c>
      <c r="G49" s="19">
        <f t="shared" si="2"/>
        <v>27</v>
      </c>
      <c r="H49" s="21">
        <v>21</v>
      </c>
      <c r="I49" s="21">
        <v>15</v>
      </c>
    </row>
    <row r="50" spans="1:9" s="40" customFormat="1" ht="62.4">
      <c r="A50" s="79">
        <v>38</v>
      </c>
      <c r="B50" s="27" t="s">
        <v>99</v>
      </c>
      <c r="C50" s="24">
        <v>69</v>
      </c>
      <c r="D50" s="24">
        <v>69</v>
      </c>
      <c r="E50" s="24">
        <v>69</v>
      </c>
      <c r="F50" s="24">
        <v>69</v>
      </c>
      <c r="G50" s="19">
        <f t="shared" si="2"/>
        <v>69</v>
      </c>
      <c r="H50" s="21">
        <v>69</v>
      </c>
      <c r="I50" s="21">
        <v>69</v>
      </c>
    </row>
    <row r="51" spans="1:9" s="40" customFormat="1" ht="46.8">
      <c r="A51" s="79">
        <v>39</v>
      </c>
      <c r="B51" s="27" t="s">
        <v>100</v>
      </c>
      <c r="C51" s="24">
        <f>148+6</f>
        <v>154</v>
      </c>
      <c r="D51" s="24">
        <f>148+6</f>
        <v>154</v>
      </c>
      <c r="E51" s="24">
        <v>148</v>
      </c>
      <c r="F51" s="24">
        <f>148-6-6</f>
        <v>136</v>
      </c>
      <c r="G51" s="19">
        <f t="shared" si="2"/>
        <v>148</v>
      </c>
      <c r="H51" s="21">
        <v>148</v>
      </c>
      <c r="I51" s="21">
        <v>148</v>
      </c>
    </row>
    <row r="52" spans="1:9" s="16" customFormat="1" ht="46.8">
      <c r="A52" s="80">
        <v>40</v>
      </c>
      <c r="B52" s="33" t="s">
        <v>149</v>
      </c>
      <c r="C52" s="35">
        <f>25-2</f>
        <v>23</v>
      </c>
      <c r="D52" s="35">
        <f>38-17</f>
        <v>21</v>
      </c>
      <c r="E52" s="35">
        <v>40</v>
      </c>
      <c r="F52" s="35">
        <f>41+2+17</f>
        <v>60</v>
      </c>
      <c r="G52" s="15">
        <f t="shared" si="2"/>
        <v>36</v>
      </c>
      <c r="H52" s="37">
        <v>38</v>
      </c>
      <c r="I52" s="37">
        <v>38</v>
      </c>
    </row>
    <row r="53" spans="1:9" s="40" customFormat="1" ht="62.4">
      <c r="A53" s="79">
        <v>41</v>
      </c>
      <c r="B53" s="27" t="s">
        <v>101</v>
      </c>
      <c r="C53" s="24">
        <f>50+3</f>
        <v>53</v>
      </c>
      <c r="D53" s="24">
        <f>50+10</f>
        <v>60</v>
      </c>
      <c r="E53" s="24">
        <v>50</v>
      </c>
      <c r="F53" s="24">
        <f>50-3-10</f>
        <v>37</v>
      </c>
      <c r="G53" s="19">
        <f t="shared" si="2"/>
        <v>50</v>
      </c>
      <c r="H53" s="21">
        <v>50</v>
      </c>
      <c r="I53" s="21">
        <v>50</v>
      </c>
    </row>
    <row r="54" spans="1:9" s="40" customFormat="1" ht="62.4">
      <c r="A54" s="79">
        <v>42</v>
      </c>
      <c r="B54" s="27" t="s">
        <v>102</v>
      </c>
      <c r="C54" s="24">
        <v>46</v>
      </c>
      <c r="D54" s="24">
        <v>46</v>
      </c>
      <c r="E54" s="24">
        <v>45</v>
      </c>
      <c r="F54" s="24">
        <v>45</v>
      </c>
      <c r="G54" s="19">
        <v>45.4</v>
      </c>
      <c r="H54" s="21">
        <v>45</v>
      </c>
      <c r="I54" s="21">
        <v>45</v>
      </c>
    </row>
    <row r="55" spans="1:9" s="16" customFormat="1" ht="46.8">
      <c r="A55" s="80">
        <v>43</v>
      </c>
      <c r="B55" s="33" t="s">
        <v>150</v>
      </c>
      <c r="C55" s="35">
        <v>23</v>
      </c>
      <c r="D55" s="35">
        <f>30-1</f>
        <v>29</v>
      </c>
      <c r="E55" s="35">
        <v>30</v>
      </c>
      <c r="F55" s="35">
        <f>30+1</f>
        <v>31</v>
      </c>
      <c r="G55" s="15">
        <f t="shared" ref="G55:G63" si="3">ROUND((C55+D55+E55+F55)/4,0)</f>
        <v>28</v>
      </c>
      <c r="H55" s="37">
        <v>30</v>
      </c>
      <c r="I55" s="37">
        <v>30</v>
      </c>
    </row>
    <row r="56" spans="1:9" s="16" customFormat="1" ht="62.4">
      <c r="A56" s="80">
        <v>44</v>
      </c>
      <c r="B56" s="33" t="s">
        <v>103</v>
      </c>
      <c r="C56" s="35">
        <v>33</v>
      </c>
      <c r="D56" s="35">
        <v>33</v>
      </c>
      <c r="E56" s="35">
        <v>33</v>
      </c>
      <c r="F56" s="35">
        <v>32</v>
      </c>
      <c r="G56" s="15">
        <f t="shared" si="3"/>
        <v>33</v>
      </c>
      <c r="H56" s="37">
        <v>32</v>
      </c>
      <c r="I56" s="37">
        <v>32</v>
      </c>
    </row>
    <row r="57" spans="1:9" s="40" customFormat="1" ht="46.8">
      <c r="A57" s="79">
        <v>45</v>
      </c>
      <c r="B57" s="27" t="s">
        <v>106</v>
      </c>
      <c r="C57" s="24">
        <f>100+14</f>
        <v>114</v>
      </c>
      <c r="D57" s="24">
        <f>100+1</f>
        <v>101</v>
      </c>
      <c r="E57" s="24">
        <v>100</v>
      </c>
      <c r="F57" s="24">
        <f>100-14-1</f>
        <v>85</v>
      </c>
      <c r="G57" s="19">
        <f t="shared" si="3"/>
        <v>100</v>
      </c>
      <c r="H57" s="21">
        <v>100</v>
      </c>
      <c r="I57" s="21">
        <v>100</v>
      </c>
    </row>
    <row r="58" spans="1:9" s="40" customFormat="1" ht="62.4">
      <c r="A58" s="79">
        <v>46</v>
      </c>
      <c r="B58" s="27" t="s">
        <v>107</v>
      </c>
      <c r="C58" s="24">
        <v>55</v>
      </c>
      <c r="D58" s="24">
        <f>55-4</f>
        <v>51</v>
      </c>
      <c r="E58" s="24">
        <v>52</v>
      </c>
      <c r="F58" s="24">
        <f>45+4</f>
        <v>49</v>
      </c>
      <c r="G58" s="19">
        <f t="shared" si="3"/>
        <v>52</v>
      </c>
      <c r="H58" s="21">
        <v>42</v>
      </c>
      <c r="I58" s="21">
        <v>33</v>
      </c>
    </row>
    <row r="59" spans="1:9" s="40" customFormat="1" ht="46.8">
      <c r="A59" s="79">
        <v>47</v>
      </c>
      <c r="B59" s="27" t="s">
        <v>27</v>
      </c>
      <c r="C59" s="24">
        <v>60</v>
      </c>
      <c r="D59" s="24">
        <v>60</v>
      </c>
      <c r="E59" s="24">
        <v>60</v>
      </c>
      <c r="F59" s="24">
        <v>60</v>
      </c>
      <c r="G59" s="19">
        <f t="shared" si="3"/>
        <v>60</v>
      </c>
      <c r="H59" s="21">
        <v>60</v>
      </c>
      <c r="I59" s="21">
        <v>60</v>
      </c>
    </row>
    <row r="60" spans="1:9" s="16" customFormat="1" ht="62.4">
      <c r="A60" s="80">
        <v>48</v>
      </c>
      <c r="B60" s="33" t="s">
        <v>108</v>
      </c>
      <c r="C60" s="35">
        <f>58+6</f>
        <v>64</v>
      </c>
      <c r="D60" s="35">
        <f>58+3</f>
        <v>61</v>
      </c>
      <c r="E60" s="35">
        <v>58</v>
      </c>
      <c r="F60" s="35">
        <f>58-6-3</f>
        <v>49</v>
      </c>
      <c r="G60" s="15">
        <f t="shared" si="3"/>
        <v>58</v>
      </c>
      <c r="H60" s="35">
        <v>58</v>
      </c>
      <c r="I60" s="35">
        <v>58</v>
      </c>
    </row>
    <row r="61" spans="1:9" s="40" customFormat="1" ht="46.8">
      <c r="A61" s="79">
        <v>49</v>
      </c>
      <c r="B61" s="27" t="s">
        <v>109</v>
      </c>
      <c r="C61" s="24">
        <v>176</v>
      </c>
      <c r="D61" s="24">
        <v>176</v>
      </c>
      <c r="E61" s="24">
        <v>185</v>
      </c>
      <c r="F61" s="24">
        <v>185</v>
      </c>
      <c r="G61" s="19">
        <f t="shared" si="3"/>
        <v>181</v>
      </c>
      <c r="H61" s="21">
        <v>185</v>
      </c>
      <c r="I61" s="21">
        <v>185</v>
      </c>
    </row>
    <row r="62" spans="1:9" s="16" customFormat="1" ht="62.4">
      <c r="A62" s="80">
        <v>50</v>
      </c>
      <c r="B62" s="33" t="s">
        <v>151</v>
      </c>
      <c r="C62" s="35">
        <f>65+10</f>
        <v>75</v>
      </c>
      <c r="D62" s="35">
        <v>65</v>
      </c>
      <c r="E62" s="35">
        <v>65</v>
      </c>
      <c r="F62" s="35">
        <f>65-10</f>
        <v>55</v>
      </c>
      <c r="G62" s="15">
        <f t="shared" si="3"/>
        <v>65</v>
      </c>
      <c r="H62" s="37">
        <v>65</v>
      </c>
      <c r="I62" s="37">
        <v>65</v>
      </c>
    </row>
    <row r="63" spans="1:9" s="40" customFormat="1">
      <c r="A63" s="81"/>
      <c r="B63" s="59" t="s">
        <v>28</v>
      </c>
      <c r="C63" s="24">
        <f>SUM(C13:C62)</f>
        <v>2859</v>
      </c>
      <c r="D63" s="24">
        <f>SUM(D13:D62)</f>
        <v>2831</v>
      </c>
      <c r="E63" s="24">
        <f>SUM(E13:E62)</f>
        <v>2807</v>
      </c>
      <c r="F63" s="24">
        <f>SUM(F13:F62)</f>
        <v>2772</v>
      </c>
      <c r="G63" s="19">
        <f t="shared" si="3"/>
        <v>2817</v>
      </c>
      <c r="H63" s="21">
        <f>SUM(H13:H62)</f>
        <v>2790</v>
      </c>
      <c r="I63" s="21">
        <f>SUM(I13:I62)</f>
        <v>2748</v>
      </c>
    </row>
    <row r="67" spans="1:7">
      <c r="A67" s="178" t="s">
        <v>113</v>
      </c>
      <c r="B67" s="178"/>
      <c r="C67" s="178"/>
      <c r="D67" s="178"/>
      <c r="E67" s="178"/>
      <c r="F67" s="178"/>
      <c r="G67" s="178"/>
    </row>
  </sheetData>
  <sheetProtection selectLockedCells="1" selectUnlockedCells="1"/>
  <mergeCells count="6">
    <mergeCell ref="G1:I1"/>
    <mergeCell ref="A9:I9"/>
    <mergeCell ref="A11:A12"/>
    <mergeCell ref="B11:B12"/>
    <mergeCell ref="C11:I11"/>
    <mergeCell ref="A67:G67"/>
  </mergeCells>
  <pageMargins left="0.78749999999999998" right="0.39374999999999999" top="0.74791666666666667" bottom="0.39374999999999999" header="0.51180555555555551" footer="0.51180555555555551"/>
  <pageSetup paperSize="9" scale="61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DB397"/>
  <sheetViews>
    <sheetView view="pageBreakPreview" topLeftCell="D3" zoomScaleSheetLayoutView="100" workbookViewId="0">
      <pane xSplit="6" ySplit="9" topLeftCell="J12" activePane="bottomRight" state="frozen"/>
      <selection activeCell="D3" sqref="D3"/>
      <selection pane="topRight" activeCell="J3" sqref="J3"/>
      <selection pane="bottomLeft" activeCell="D344" sqref="D344"/>
      <selection pane="bottomRight" activeCell="M383" sqref="M383"/>
    </sheetView>
  </sheetViews>
  <sheetFormatPr defaultColWidth="9.109375" defaultRowHeight="14.4"/>
  <cols>
    <col min="1" max="3" width="9" style="40" hidden="1" customWidth="1"/>
    <col min="4" max="4" width="4.44140625" style="40" customWidth="1"/>
    <col min="5" max="5" width="33.44140625" style="82" customWidth="1"/>
    <col min="6" max="6" width="10.44140625" style="82" customWidth="1"/>
    <col min="7" max="7" width="25.109375" style="82" customWidth="1"/>
    <col min="8" max="8" width="9.109375" style="82"/>
    <col min="9" max="9" width="17.33203125" style="82" customWidth="1"/>
    <col min="10" max="10" width="8.6640625" style="82" customWidth="1"/>
    <col min="11" max="11" width="9.109375" style="82"/>
    <col min="12" max="12" width="9.33203125" style="82" customWidth="1"/>
    <col min="13" max="13" width="9.44140625" style="82" customWidth="1"/>
    <col min="14" max="14" width="7.109375" style="82" customWidth="1"/>
    <col min="15" max="16" width="6.6640625" style="83" customWidth="1"/>
    <col min="17" max="16384" width="9.109375" style="40"/>
  </cols>
  <sheetData>
    <row r="1" spans="1:16" ht="15.6" hidden="1">
      <c r="L1" s="84" t="s">
        <v>152</v>
      </c>
    </row>
    <row r="2" spans="1:16" hidden="1"/>
    <row r="3" spans="1:16">
      <c r="E3" s="85"/>
      <c r="F3" s="85"/>
      <c r="G3" s="85"/>
      <c r="H3" s="85"/>
      <c r="I3" s="85"/>
      <c r="J3" s="86" t="s">
        <v>153</v>
      </c>
      <c r="K3" s="87"/>
      <c r="L3" s="85"/>
      <c r="M3" s="85"/>
      <c r="N3" s="88"/>
      <c r="O3" s="88"/>
      <c r="P3" s="88"/>
    </row>
    <row r="4" spans="1:16" ht="26.25" customHeight="1">
      <c r="E4" s="85"/>
      <c r="F4" s="85"/>
      <c r="G4" s="85"/>
      <c r="H4" s="85"/>
      <c r="I4" s="85"/>
      <c r="J4" s="86" t="s">
        <v>30</v>
      </c>
      <c r="K4" s="87"/>
      <c r="L4" s="85"/>
      <c r="M4" s="85"/>
      <c r="N4" s="88"/>
      <c r="O4" s="89"/>
      <c r="P4" s="89"/>
    </row>
    <row r="5" spans="1:16" ht="26.25" customHeight="1">
      <c r="E5" s="85"/>
      <c r="F5" s="85"/>
      <c r="G5" s="85"/>
      <c r="H5" s="85"/>
      <c r="I5" s="85"/>
      <c r="J5" s="90" t="s">
        <v>3</v>
      </c>
      <c r="K5" s="87"/>
      <c r="L5" s="85"/>
      <c r="M5" s="85"/>
      <c r="N5" s="88"/>
      <c r="O5" s="88"/>
      <c r="P5" s="88"/>
    </row>
    <row r="6" spans="1:16">
      <c r="E6" s="85"/>
      <c r="F6" s="85"/>
      <c r="G6" s="85"/>
      <c r="H6" s="85"/>
      <c r="I6" s="85"/>
      <c r="J6" s="90" t="s">
        <v>4</v>
      </c>
      <c r="K6" s="87"/>
      <c r="L6" s="85"/>
      <c r="M6" s="85"/>
      <c r="N6" s="88"/>
      <c r="O6" s="89"/>
      <c r="P6" s="89"/>
    </row>
    <row r="7" spans="1:16">
      <c r="E7" s="85"/>
      <c r="F7" s="85"/>
      <c r="G7" s="85"/>
      <c r="H7" s="85"/>
      <c r="I7" s="85"/>
      <c r="J7" s="86" t="s">
        <v>5</v>
      </c>
      <c r="K7" s="87"/>
      <c r="L7" s="85"/>
      <c r="M7" s="88"/>
      <c r="N7" s="88"/>
      <c r="O7" s="89"/>
      <c r="P7" s="89"/>
    </row>
    <row r="8" spans="1:16" ht="12.75" customHeight="1">
      <c r="E8" s="85"/>
      <c r="F8" s="85"/>
      <c r="G8" s="85"/>
      <c r="H8" s="85"/>
      <c r="I8" s="85"/>
      <c r="J8" s="88"/>
      <c r="K8" s="88"/>
      <c r="L8" s="88"/>
      <c r="M8" s="85"/>
      <c r="N8" s="85"/>
      <c r="O8" s="91"/>
      <c r="P8" s="91"/>
    </row>
    <row r="9" spans="1:16" ht="44.25" customHeight="1">
      <c r="E9" s="179" t="s">
        <v>154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</row>
    <row r="10" spans="1:16" ht="20.25" hidden="1" customHeight="1">
      <c r="E10" s="93"/>
      <c r="F10" s="92"/>
      <c r="G10" s="92"/>
      <c r="H10" s="92"/>
      <c r="I10" s="94"/>
      <c r="J10" s="94"/>
      <c r="K10" s="94"/>
      <c r="L10" s="94"/>
      <c r="M10" s="95"/>
      <c r="N10" s="95"/>
      <c r="O10" s="95"/>
      <c r="P10" s="95"/>
    </row>
    <row r="11" spans="1:16" ht="54" customHeight="1">
      <c r="A11" s="180" t="s">
        <v>155</v>
      </c>
      <c r="B11" s="97" t="s">
        <v>156</v>
      </c>
      <c r="C11" s="98" t="s">
        <v>157</v>
      </c>
      <c r="D11" s="181" t="s">
        <v>6</v>
      </c>
      <c r="E11" s="182" t="s">
        <v>158</v>
      </c>
      <c r="F11" s="183" t="s">
        <v>159</v>
      </c>
      <c r="G11" s="182" t="s">
        <v>160</v>
      </c>
      <c r="H11" s="182" t="s">
        <v>161</v>
      </c>
      <c r="I11" s="182" t="s">
        <v>162</v>
      </c>
      <c r="J11" s="182" t="s">
        <v>163</v>
      </c>
      <c r="K11" s="182"/>
      <c r="L11" s="182"/>
      <c r="M11" s="182"/>
      <c r="N11" s="182"/>
      <c r="O11" s="182"/>
      <c r="P11" s="182"/>
    </row>
    <row r="12" spans="1:16" ht="20.399999999999999">
      <c r="A12" s="180"/>
      <c r="B12" s="96"/>
      <c r="C12" s="101"/>
      <c r="D12" s="181"/>
      <c r="E12" s="182"/>
      <c r="F12" s="183"/>
      <c r="G12" s="182"/>
      <c r="H12" s="182"/>
      <c r="I12" s="182"/>
      <c r="J12" s="100" t="s">
        <v>9</v>
      </c>
      <c r="K12" s="100" t="s">
        <v>10</v>
      </c>
      <c r="L12" s="100" t="s">
        <v>11</v>
      </c>
      <c r="M12" s="100" t="s">
        <v>12</v>
      </c>
      <c r="N12" s="100" t="s">
        <v>13</v>
      </c>
      <c r="O12" s="100" t="s">
        <v>14</v>
      </c>
      <c r="P12" s="100" t="s">
        <v>15</v>
      </c>
    </row>
    <row r="13" spans="1:16" ht="46.5" customHeight="1">
      <c r="A13" s="102"/>
      <c r="B13" s="103" t="s">
        <v>164</v>
      </c>
      <c r="C13" s="103" t="s">
        <v>165</v>
      </c>
      <c r="D13" s="100">
        <v>1</v>
      </c>
      <c r="E13" s="104" t="s">
        <v>166</v>
      </c>
      <c r="F13" s="105" t="s">
        <v>167</v>
      </c>
      <c r="G13" s="106" t="s">
        <v>168</v>
      </c>
      <c r="H13" s="106" t="s">
        <v>169</v>
      </c>
      <c r="I13" s="107" t="s">
        <v>170</v>
      </c>
      <c r="J13" s="140">
        <f>16+1</f>
        <v>17</v>
      </c>
      <c r="K13" s="116">
        <v>16</v>
      </c>
      <c r="L13" s="116">
        <v>7</v>
      </c>
      <c r="M13" s="116">
        <f>7-1</f>
        <v>6</v>
      </c>
      <c r="N13" s="116">
        <f t="shared" ref="N13:N84" si="0">ROUND((J13+K13+L13+M13)/4,0)</f>
        <v>12</v>
      </c>
      <c r="O13" s="116">
        <v>7</v>
      </c>
      <c r="P13" s="116">
        <v>7</v>
      </c>
    </row>
    <row r="14" spans="1:16" ht="46.5" customHeight="1">
      <c r="A14" s="102"/>
      <c r="B14" s="103"/>
      <c r="C14" s="103"/>
      <c r="D14" s="100">
        <v>2</v>
      </c>
      <c r="E14" s="104" t="s">
        <v>166</v>
      </c>
      <c r="F14" s="105" t="s">
        <v>167</v>
      </c>
      <c r="G14" s="106" t="s">
        <v>171</v>
      </c>
      <c r="H14" s="106" t="s">
        <v>169</v>
      </c>
      <c r="I14" s="107" t="s">
        <v>172</v>
      </c>
      <c r="J14" s="140">
        <v>0</v>
      </c>
      <c r="K14" s="116">
        <v>0</v>
      </c>
      <c r="L14" s="116">
        <v>0</v>
      </c>
      <c r="M14" s="116">
        <v>0</v>
      </c>
      <c r="N14" s="116">
        <f t="shared" si="0"/>
        <v>0</v>
      </c>
      <c r="O14" s="116">
        <v>5</v>
      </c>
      <c r="P14" s="116">
        <v>20</v>
      </c>
    </row>
    <row r="15" spans="1:16" ht="47.25" customHeight="1">
      <c r="A15" s="102"/>
      <c r="B15" s="103"/>
      <c r="C15" s="103"/>
      <c r="D15" s="100">
        <v>3</v>
      </c>
      <c r="E15" s="104" t="s">
        <v>166</v>
      </c>
      <c r="F15" s="105" t="s">
        <v>167</v>
      </c>
      <c r="G15" s="106" t="s">
        <v>173</v>
      </c>
      <c r="H15" s="106" t="s">
        <v>169</v>
      </c>
      <c r="I15" s="107" t="s">
        <v>172</v>
      </c>
      <c r="J15" s="140">
        <f>34+5</f>
        <v>39</v>
      </c>
      <c r="K15" s="116">
        <f>33+9</f>
        <v>42</v>
      </c>
      <c r="L15" s="116">
        <v>37</v>
      </c>
      <c r="M15" s="116">
        <f>47-5-9</f>
        <v>33</v>
      </c>
      <c r="N15" s="116">
        <f t="shared" si="0"/>
        <v>38</v>
      </c>
      <c r="O15" s="116">
        <v>51</v>
      </c>
      <c r="P15" s="116">
        <v>58</v>
      </c>
    </row>
    <row r="16" spans="1:16" ht="44.25" customHeight="1">
      <c r="A16" s="102"/>
      <c r="B16" s="103"/>
      <c r="C16" s="103"/>
      <c r="D16" s="100">
        <v>4</v>
      </c>
      <c r="E16" s="104" t="s">
        <v>166</v>
      </c>
      <c r="F16" s="105" t="s">
        <v>174</v>
      </c>
      <c r="G16" s="106" t="s">
        <v>173</v>
      </c>
      <c r="H16" s="106" t="s">
        <v>175</v>
      </c>
      <c r="I16" s="107" t="s">
        <v>172</v>
      </c>
      <c r="J16" s="140">
        <f>76-5</f>
        <v>71</v>
      </c>
      <c r="K16" s="116">
        <f>76-5</f>
        <v>71</v>
      </c>
      <c r="L16" s="116">
        <v>83</v>
      </c>
      <c r="M16" s="116">
        <f>98+5+5</f>
        <v>108</v>
      </c>
      <c r="N16" s="116">
        <f t="shared" si="0"/>
        <v>83</v>
      </c>
      <c r="O16" s="116">
        <v>94</v>
      </c>
      <c r="P16" s="116">
        <v>93</v>
      </c>
    </row>
    <row r="17" spans="1:16" ht="48.75" customHeight="1">
      <c r="A17" s="102"/>
      <c r="B17" s="103"/>
      <c r="C17" s="103"/>
      <c r="D17" s="100">
        <v>5</v>
      </c>
      <c r="E17" s="104" t="s">
        <v>166</v>
      </c>
      <c r="F17" s="105" t="s">
        <v>174</v>
      </c>
      <c r="G17" s="106" t="s">
        <v>168</v>
      </c>
      <c r="H17" s="106" t="s">
        <v>175</v>
      </c>
      <c r="I17" s="107" t="s">
        <v>176</v>
      </c>
      <c r="J17" s="140">
        <v>92</v>
      </c>
      <c r="K17" s="116">
        <v>90</v>
      </c>
      <c r="L17" s="116">
        <v>83</v>
      </c>
      <c r="M17" s="116">
        <v>97</v>
      </c>
      <c r="N17" s="116">
        <f t="shared" si="0"/>
        <v>91</v>
      </c>
      <c r="O17" s="116">
        <v>90</v>
      </c>
      <c r="P17" s="116">
        <v>90</v>
      </c>
    </row>
    <row r="18" spans="1:16" ht="48.75" customHeight="1">
      <c r="A18" s="102"/>
      <c r="B18" s="103"/>
      <c r="C18" s="103"/>
      <c r="D18" s="100">
        <v>6</v>
      </c>
      <c r="E18" s="104" t="s">
        <v>166</v>
      </c>
      <c r="F18" s="105" t="s">
        <v>174</v>
      </c>
      <c r="G18" s="106" t="s">
        <v>168</v>
      </c>
      <c r="H18" s="106" t="s">
        <v>175</v>
      </c>
      <c r="I18" s="107" t="s">
        <v>177</v>
      </c>
      <c r="J18" s="140">
        <v>120</v>
      </c>
      <c r="K18" s="116">
        <v>119</v>
      </c>
      <c r="L18" s="116">
        <v>110</v>
      </c>
      <c r="M18" s="116">
        <v>139</v>
      </c>
      <c r="N18" s="116">
        <f t="shared" si="0"/>
        <v>122</v>
      </c>
      <c r="O18" s="116">
        <v>134</v>
      </c>
      <c r="P18" s="116">
        <v>130</v>
      </c>
    </row>
    <row r="19" spans="1:16" ht="30.6">
      <c r="A19" s="102"/>
      <c r="B19" s="103"/>
      <c r="C19" s="103"/>
      <c r="D19" s="100">
        <v>7</v>
      </c>
      <c r="E19" s="104" t="s">
        <v>166</v>
      </c>
      <c r="F19" s="105" t="s">
        <v>174</v>
      </c>
      <c r="G19" s="106" t="s">
        <v>178</v>
      </c>
      <c r="H19" s="106" t="s">
        <v>175</v>
      </c>
      <c r="I19" s="107" t="s">
        <v>179</v>
      </c>
      <c r="J19" s="140">
        <v>17</v>
      </c>
      <c r="K19" s="116">
        <v>17</v>
      </c>
      <c r="L19" s="116">
        <v>19</v>
      </c>
      <c r="M19" s="116">
        <v>23</v>
      </c>
      <c r="N19" s="116">
        <f t="shared" si="0"/>
        <v>19</v>
      </c>
      <c r="O19" s="116">
        <v>19</v>
      </c>
      <c r="P19" s="116">
        <v>19</v>
      </c>
    </row>
    <row r="20" spans="1:16" ht="30.6">
      <c r="A20" s="102">
        <v>11</v>
      </c>
      <c r="B20" s="103" t="s">
        <v>180</v>
      </c>
      <c r="C20" s="103" t="s">
        <v>181</v>
      </c>
      <c r="D20" s="100">
        <v>8</v>
      </c>
      <c r="E20" s="104" t="s">
        <v>166</v>
      </c>
      <c r="F20" s="105" t="s">
        <v>174</v>
      </c>
      <c r="G20" s="106" t="s">
        <v>182</v>
      </c>
      <c r="H20" s="106" t="s">
        <v>175</v>
      </c>
      <c r="I20" s="107" t="s">
        <v>183</v>
      </c>
      <c r="J20" s="140">
        <v>98</v>
      </c>
      <c r="K20" s="116">
        <v>98</v>
      </c>
      <c r="L20" s="116">
        <v>73</v>
      </c>
      <c r="M20" s="116">
        <v>73</v>
      </c>
      <c r="N20" s="116">
        <f t="shared" si="0"/>
        <v>86</v>
      </c>
      <c r="O20" s="116">
        <v>69</v>
      </c>
      <c r="P20" s="116">
        <v>69</v>
      </c>
    </row>
    <row r="21" spans="1:16" ht="62.25" customHeight="1">
      <c r="A21" s="102"/>
      <c r="B21" s="103"/>
      <c r="C21" s="103"/>
      <c r="D21" s="100">
        <v>9</v>
      </c>
      <c r="E21" s="104" t="s">
        <v>166</v>
      </c>
      <c r="F21" s="105" t="s">
        <v>174</v>
      </c>
      <c r="G21" s="106" t="s">
        <v>184</v>
      </c>
      <c r="H21" s="106" t="s">
        <v>175</v>
      </c>
      <c r="I21" s="107" t="s">
        <v>185</v>
      </c>
      <c r="J21" s="140">
        <f>89+2</f>
        <v>91</v>
      </c>
      <c r="K21" s="116">
        <v>87</v>
      </c>
      <c r="L21" s="116">
        <v>80</v>
      </c>
      <c r="M21" s="116">
        <f>97-2</f>
        <v>95</v>
      </c>
      <c r="N21" s="116">
        <f t="shared" si="0"/>
        <v>88</v>
      </c>
      <c r="O21" s="116">
        <v>85</v>
      </c>
      <c r="P21" s="116">
        <v>85</v>
      </c>
    </row>
    <row r="22" spans="1:16" ht="63" customHeight="1">
      <c r="A22" s="102"/>
      <c r="B22" s="103"/>
      <c r="C22" s="103"/>
      <c r="D22" s="100">
        <v>10</v>
      </c>
      <c r="E22" s="104" t="s">
        <v>166</v>
      </c>
      <c r="F22" s="105" t="s">
        <v>174</v>
      </c>
      <c r="G22" s="106" t="s">
        <v>184</v>
      </c>
      <c r="H22" s="106" t="s">
        <v>175</v>
      </c>
      <c r="I22" s="107" t="s">
        <v>186</v>
      </c>
      <c r="J22" s="140">
        <v>23</v>
      </c>
      <c r="K22" s="116">
        <v>23</v>
      </c>
      <c r="L22" s="116">
        <v>23</v>
      </c>
      <c r="M22" s="116">
        <v>23</v>
      </c>
      <c r="N22" s="116">
        <f t="shared" si="0"/>
        <v>23</v>
      </c>
      <c r="O22" s="116">
        <v>23</v>
      </c>
      <c r="P22" s="116">
        <v>20</v>
      </c>
    </row>
    <row r="23" spans="1:16" ht="56.25" customHeight="1">
      <c r="A23" s="102"/>
      <c r="B23" s="103"/>
      <c r="C23" s="103"/>
      <c r="D23" s="100">
        <v>11</v>
      </c>
      <c r="E23" s="104" t="s">
        <v>166</v>
      </c>
      <c r="F23" s="105" t="s">
        <v>174</v>
      </c>
      <c r="G23" s="106" t="s">
        <v>184</v>
      </c>
      <c r="H23" s="106" t="s">
        <v>175</v>
      </c>
      <c r="I23" s="107" t="s">
        <v>187</v>
      </c>
      <c r="J23" s="140">
        <v>111</v>
      </c>
      <c r="K23" s="116">
        <v>109</v>
      </c>
      <c r="L23" s="116">
        <v>91</v>
      </c>
      <c r="M23" s="116">
        <v>108</v>
      </c>
      <c r="N23" s="116">
        <f t="shared" si="0"/>
        <v>105</v>
      </c>
      <c r="O23" s="116">
        <v>102</v>
      </c>
      <c r="P23" s="116">
        <v>102</v>
      </c>
    </row>
    <row r="24" spans="1:16" ht="47.25" customHeight="1">
      <c r="A24" s="102"/>
      <c r="B24" s="103"/>
      <c r="C24" s="103"/>
      <c r="D24" s="100">
        <v>12</v>
      </c>
      <c r="E24" s="104" t="s">
        <v>166</v>
      </c>
      <c r="F24" s="105" t="s">
        <v>174</v>
      </c>
      <c r="G24" s="106" t="s">
        <v>184</v>
      </c>
      <c r="H24" s="106" t="s">
        <v>175</v>
      </c>
      <c r="I24" s="107" t="s">
        <v>188</v>
      </c>
      <c r="J24" s="140">
        <v>101</v>
      </c>
      <c r="K24" s="116">
        <v>101</v>
      </c>
      <c r="L24" s="116">
        <v>86</v>
      </c>
      <c r="M24" s="116">
        <v>103</v>
      </c>
      <c r="N24" s="116">
        <f t="shared" si="0"/>
        <v>98</v>
      </c>
      <c r="O24" s="116">
        <v>98</v>
      </c>
      <c r="P24" s="116">
        <v>98</v>
      </c>
    </row>
    <row r="25" spans="1:16" ht="48" customHeight="1">
      <c r="A25" s="102"/>
      <c r="B25" s="103"/>
      <c r="C25" s="103"/>
      <c r="D25" s="100">
        <v>13</v>
      </c>
      <c r="E25" s="104" t="s">
        <v>166</v>
      </c>
      <c r="F25" s="105" t="s">
        <v>174</v>
      </c>
      <c r="G25" s="107" t="s">
        <v>184</v>
      </c>
      <c r="H25" s="107" t="s">
        <v>175</v>
      </c>
      <c r="I25" s="107" t="s">
        <v>179</v>
      </c>
      <c r="J25" s="140">
        <v>87</v>
      </c>
      <c r="K25" s="116">
        <v>85</v>
      </c>
      <c r="L25" s="116">
        <v>71</v>
      </c>
      <c r="M25" s="116">
        <v>71</v>
      </c>
      <c r="N25" s="116">
        <f t="shared" si="0"/>
        <v>79</v>
      </c>
      <c r="O25" s="116">
        <v>79</v>
      </c>
      <c r="P25" s="116">
        <v>79</v>
      </c>
    </row>
    <row r="26" spans="1:16" ht="45" customHeight="1">
      <c r="A26" s="102">
        <v>11</v>
      </c>
      <c r="B26" s="103" t="s">
        <v>189</v>
      </c>
      <c r="C26" s="103" t="s">
        <v>190</v>
      </c>
      <c r="D26" s="100">
        <v>14</v>
      </c>
      <c r="E26" s="104" t="s">
        <v>166</v>
      </c>
      <c r="F26" s="105" t="s">
        <v>174</v>
      </c>
      <c r="G26" s="106" t="s">
        <v>191</v>
      </c>
      <c r="H26" s="106" t="s">
        <v>175</v>
      </c>
      <c r="I26" s="107" t="s">
        <v>192</v>
      </c>
      <c r="J26" s="140">
        <v>92</v>
      </c>
      <c r="K26" s="116">
        <v>91</v>
      </c>
      <c r="L26" s="116">
        <v>77</v>
      </c>
      <c r="M26" s="116">
        <v>93</v>
      </c>
      <c r="N26" s="116">
        <f t="shared" si="0"/>
        <v>88</v>
      </c>
      <c r="O26" s="116">
        <v>86</v>
      </c>
      <c r="P26" s="116">
        <v>85</v>
      </c>
    </row>
    <row r="27" spans="1:16" ht="47.25" customHeight="1">
      <c r="A27" s="102"/>
      <c r="B27" s="103"/>
      <c r="C27" s="103"/>
      <c r="D27" s="100">
        <v>15</v>
      </c>
      <c r="E27" s="104" t="s">
        <v>166</v>
      </c>
      <c r="F27" s="105" t="s">
        <v>174</v>
      </c>
      <c r="G27" s="106" t="s">
        <v>193</v>
      </c>
      <c r="H27" s="106" t="s">
        <v>175</v>
      </c>
      <c r="I27" s="107" t="s">
        <v>185</v>
      </c>
      <c r="J27" s="140">
        <v>44</v>
      </c>
      <c r="K27" s="116">
        <v>42</v>
      </c>
      <c r="L27" s="116">
        <v>22</v>
      </c>
      <c r="M27" s="116">
        <v>19</v>
      </c>
      <c r="N27" s="116">
        <f t="shared" si="0"/>
        <v>32</v>
      </c>
      <c r="O27" s="116">
        <v>19</v>
      </c>
      <c r="P27" s="116">
        <v>0</v>
      </c>
    </row>
    <row r="28" spans="1:16" ht="43.5" customHeight="1">
      <c r="A28" s="102">
        <v>11</v>
      </c>
      <c r="B28" s="103" t="s">
        <v>194</v>
      </c>
      <c r="C28" s="103" t="s">
        <v>181</v>
      </c>
      <c r="D28" s="100">
        <v>16</v>
      </c>
      <c r="E28" s="104" t="s">
        <v>166</v>
      </c>
      <c r="F28" s="105" t="s">
        <v>174</v>
      </c>
      <c r="G28" s="106" t="s">
        <v>195</v>
      </c>
      <c r="H28" s="106" t="s">
        <v>175</v>
      </c>
      <c r="I28" s="107" t="s">
        <v>185</v>
      </c>
      <c r="J28" s="140">
        <f>64+1</f>
        <v>65</v>
      </c>
      <c r="K28" s="116">
        <v>61</v>
      </c>
      <c r="L28" s="116">
        <v>22</v>
      </c>
      <c r="M28" s="116">
        <f>22-1</f>
        <v>21</v>
      </c>
      <c r="N28" s="116">
        <f t="shared" si="0"/>
        <v>42</v>
      </c>
      <c r="O28" s="116">
        <v>20</v>
      </c>
      <c r="P28" s="116">
        <v>0</v>
      </c>
    </row>
    <row r="29" spans="1:16" ht="47.25" customHeight="1">
      <c r="A29" s="102">
        <v>11</v>
      </c>
      <c r="B29" s="103" t="s">
        <v>196</v>
      </c>
      <c r="C29" s="103" t="s">
        <v>197</v>
      </c>
      <c r="D29" s="100">
        <v>17</v>
      </c>
      <c r="E29" s="104" t="s">
        <v>166</v>
      </c>
      <c r="F29" s="105" t="s">
        <v>174</v>
      </c>
      <c r="G29" s="106" t="s">
        <v>198</v>
      </c>
      <c r="H29" s="106" t="s">
        <v>175</v>
      </c>
      <c r="I29" s="107" t="s">
        <v>199</v>
      </c>
      <c r="J29" s="140">
        <v>40</v>
      </c>
      <c r="K29" s="116">
        <v>37</v>
      </c>
      <c r="L29" s="116">
        <v>16</v>
      </c>
      <c r="M29" s="116">
        <v>16</v>
      </c>
      <c r="N29" s="116">
        <f t="shared" si="0"/>
        <v>27</v>
      </c>
      <c r="O29" s="116">
        <v>8</v>
      </c>
      <c r="P29" s="116">
        <v>0</v>
      </c>
    </row>
    <row r="30" spans="1:16" ht="47.25" customHeight="1">
      <c r="A30" s="102">
        <v>11</v>
      </c>
      <c r="B30" s="103" t="s">
        <v>200</v>
      </c>
      <c r="C30" s="103" t="s">
        <v>197</v>
      </c>
      <c r="D30" s="100">
        <v>18</v>
      </c>
      <c r="E30" s="104" t="s">
        <v>166</v>
      </c>
      <c r="F30" s="105" t="s">
        <v>174</v>
      </c>
      <c r="G30" s="106" t="s">
        <v>201</v>
      </c>
      <c r="H30" s="106" t="s">
        <v>175</v>
      </c>
      <c r="I30" s="107" t="s">
        <v>185</v>
      </c>
      <c r="J30" s="140">
        <f>142-5</f>
        <v>137</v>
      </c>
      <c r="K30" s="116">
        <v>135</v>
      </c>
      <c r="L30" s="116">
        <v>98</v>
      </c>
      <c r="M30" s="116">
        <f>113+5</f>
        <v>118</v>
      </c>
      <c r="N30" s="116">
        <f t="shared" si="0"/>
        <v>122</v>
      </c>
      <c r="O30" s="116">
        <v>127</v>
      </c>
      <c r="P30" s="116">
        <v>130</v>
      </c>
    </row>
    <row r="31" spans="1:16" ht="47.25" customHeight="1">
      <c r="A31" s="102"/>
      <c r="B31" s="103"/>
      <c r="C31" s="103"/>
      <c r="D31" s="100">
        <v>19</v>
      </c>
      <c r="E31" s="104" t="s">
        <v>166</v>
      </c>
      <c r="F31" s="105" t="s">
        <v>174</v>
      </c>
      <c r="G31" s="106" t="s">
        <v>201</v>
      </c>
      <c r="H31" s="106" t="s">
        <v>175</v>
      </c>
      <c r="I31" s="107" t="s">
        <v>177</v>
      </c>
      <c r="J31" s="140">
        <v>68</v>
      </c>
      <c r="K31" s="116">
        <v>67</v>
      </c>
      <c r="L31" s="116">
        <v>60</v>
      </c>
      <c r="M31" s="116">
        <v>74</v>
      </c>
      <c r="N31" s="116">
        <f t="shared" si="0"/>
        <v>67</v>
      </c>
      <c r="O31" s="116">
        <v>70</v>
      </c>
      <c r="P31" s="116">
        <v>70</v>
      </c>
    </row>
    <row r="32" spans="1:16" ht="47.25" customHeight="1">
      <c r="A32" s="102"/>
      <c r="B32" s="103"/>
      <c r="C32" s="103"/>
      <c r="D32" s="100">
        <v>20</v>
      </c>
      <c r="E32" s="104" t="s">
        <v>166</v>
      </c>
      <c r="F32" s="105" t="s">
        <v>174</v>
      </c>
      <c r="G32" s="106" t="s">
        <v>201</v>
      </c>
      <c r="H32" s="106" t="s">
        <v>175</v>
      </c>
      <c r="I32" s="107" t="s">
        <v>202</v>
      </c>
      <c r="J32" s="140">
        <v>19</v>
      </c>
      <c r="K32" s="116">
        <v>19</v>
      </c>
      <c r="L32" s="116">
        <v>1</v>
      </c>
      <c r="M32" s="116">
        <v>1</v>
      </c>
      <c r="N32" s="116">
        <f t="shared" si="0"/>
        <v>10</v>
      </c>
      <c r="O32" s="116">
        <v>0</v>
      </c>
      <c r="P32" s="116">
        <v>0</v>
      </c>
    </row>
    <row r="33" spans="1:16" ht="47.25" customHeight="1">
      <c r="A33" s="102"/>
      <c r="B33" s="103"/>
      <c r="C33" s="103"/>
      <c r="D33" s="100">
        <v>21</v>
      </c>
      <c r="E33" s="104" t="s">
        <v>166</v>
      </c>
      <c r="F33" s="105" t="s">
        <v>174</v>
      </c>
      <c r="G33" s="106" t="s">
        <v>203</v>
      </c>
      <c r="H33" s="106" t="s">
        <v>175</v>
      </c>
      <c r="I33" s="107" t="s">
        <v>186</v>
      </c>
      <c r="J33" s="140">
        <v>18</v>
      </c>
      <c r="K33" s="116">
        <f>18-1</f>
        <v>17</v>
      </c>
      <c r="L33" s="116">
        <v>18</v>
      </c>
      <c r="M33" s="116">
        <f>21+1-4+1</f>
        <v>19</v>
      </c>
      <c r="N33" s="116">
        <f t="shared" si="0"/>
        <v>18</v>
      </c>
      <c r="O33" s="116">
        <v>18</v>
      </c>
      <c r="P33" s="116">
        <v>17</v>
      </c>
    </row>
    <row r="34" spans="1:16" ht="48.75" customHeight="1">
      <c r="A34" s="102"/>
      <c r="B34" s="103"/>
      <c r="C34" s="103"/>
      <c r="D34" s="100">
        <v>22</v>
      </c>
      <c r="E34" s="104" t="s">
        <v>166</v>
      </c>
      <c r="F34" s="105" t="s">
        <v>174</v>
      </c>
      <c r="G34" s="106" t="s">
        <v>203</v>
      </c>
      <c r="H34" s="106" t="s">
        <v>175</v>
      </c>
      <c r="I34" s="107" t="s">
        <v>185</v>
      </c>
      <c r="J34" s="140">
        <f>94+1</f>
        <v>95</v>
      </c>
      <c r="K34" s="116">
        <f>92-3</f>
        <v>89</v>
      </c>
      <c r="L34" s="116">
        <v>77</v>
      </c>
      <c r="M34" s="116">
        <f>93-1</f>
        <v>92</v>
      </c>
      <c r="N34" s="116">
        <f t="shared" si="0"/>
        <v>88</v>
      </c>
      <c r="O34" s="116">
        <v>85</v>
      </c>
      <c r="P34" s="116">
        <v>85</v>
      </c>
    </row>
    <row r="35" spans="1:16" ht="56.25" customHeight="1">
      <c r="A35" s="102">
        <v>11</v>
      </c>
      <c r="B35" s="103" t="s">
        <v>204</v>
      </c>
      <c r="C35" s="103" t="s">
        <v>190</v>
      </c>
      <c r="D35" s="100">
        <v>23</v>
      </c>
      <c r="E35" s="104" t="s">
        <v>166</v>
      </c>
      <c r="F35" s="105" t="s">
        <v>174</v>
      </c>
      <c r="G35" s="107" t="s">
        <v>205</v>
      </c>
      <c r="H35" s="107" t="s">
        <v>175</v>
      </c>
      <c r="I35" s="107" t="s">
        <v>185</v>
      </c>
      <c r="J35" s="140">
        <f>97+2</f>
        <v>99</v>
      </c>
      <c r="K35" s="116">
        <v>93</v>
      </c>
      <c r="L35" s="116">
        <v>76</v>
      </c>
      <c r="M35" s="116">
        <f>92-2</f>
        <v>90</v>
      </c>
      <c r="N35" s="116">
        <f t="shared" si="0"/>
        <v>90</v>
      </c>
      <c r="O35" s="116">
        <v>85</v>
      </c>
      <c r="P35" s="116">
        <v>85</v>
      </c>
    </row>
    <row r="36" spans="1:16" ht="48" customHeight="1">
      <c r="A36" s="102"/>
      <c r="B36" s="103"/>
      <c r="C36" s="103"/>
      <c r="D36" s="100">
        <v>24</v>
      </c>
      <c r="E36" s="104" t="s">
        <v>166</v>
      </c>
      <c r="F36" s="105" t="s">
        <v>174</v>
      </c>
      <c r="G36" s="107" t="s">
        <v>205</v>
      </c>
      <c r="H36" s="107" t="s">
        <v>175</v>
      </c>
      <c r="I36" s="107" t="s">
        <v>187</v>
      </c>
      <c r="J36" s="140">
        <v>96</v>
      </c>
      <c r="K36" s="116">
        <v>96</v>
      </c>
      <c r="L36" s="116">
        <v>90</v>
      </c>
      <c r="M36" s="116">
        <v>103</v>
      </c>
      <c r="N36" s="116">
        <f t="shared" si="0"/>
        <v>96</v>
      </c>
      <c r="O36" s="116">
        <v>91</v>
      </c>
      <c r="P36" s="116">
        <v>84</v>
      </c>
    </row>
    <row r="37" spans="1:16" ht="30.6">
      <c r="A37" s="102"/>
      <c r="B37" s="103"/>
      <c r="C37" s="103"/>
      <c r="D37" s="100">
        <v>25</v>
      </c>
      <c r="E37" s="104" t="s">
        <v>166</v>
      </c>
      <c r="F37" s="105" t="s">
        <v>174</v>
      </c>
      <c r="G37" s="107" t="s">
        <v>205</v>
      </c>
      <c r="H37" s="107" t="s">
        <v>175</v>
      </c>
      <c r="I37" s="107" t="s">
        <v>179</v>
      </c>
      <c r="J37" s="140">
        <v>74</v>
      </c>
      <c r="K37" s="116">
        <v>73</v>
      </c>
      <c r="L37" s="116">
        <v>53</v>
      </c>
      <c r="M37" s="116">
        <v>53</v>
      </c>
      <c r="N37" s="116">
        <f t="shared" si="0"/>
        <v>63</v>
      </c>
      <c r="O37" s="116">
        <v>63</v>
      </c>
      <c r="P37" s="116">
        <v>63</v>
      </c>
    </row>
    <row r="38" spans="1:16" ht="30.6">
      <c r="A38" s="102"/>
      <c r="B38" s="103"/>
      <c r="C38" s="103"/>
      <c r="D38" s="100">
        <v>26</v>
      </c>
      <c r="E38" s="104" t="s">
        <v>166</v>
      </c>
      <c r="F38" s="105" t="s">
        <v>174</v>
      </c>
      <c r="G38" s="107" t="s">
        <v>205</v>
      </c>
      <c r="H38" s="107" t="s">
        <v>175</v>
      </c>
      <c r="I38" s="107" t="s">
        <v>188</v>
      </c>
      <c r="J38" s="140">
        <v>105</v>
      </c>
      <c r="K38" s="116">
        <v>105</v>
      </c>
      <c r="L38" s="116">
        <v>83</v>
      </c>
      <c r="M38" s="116">
        <v>100</v>
      </c>
      <c r="N38" s="116">
        <f t="shared" si="0"/>
        <v>98</v>
      </c>
      <c r="O38" s="116">
        <v>98</v>
      </c>
      <c r="P38" s="116">
        <v>98</v>
      </c>
    </row>
    <row r="39" spans="1:16" ht="51">
      <c r="A39" s="102"/>
      <c r="B39" s="103"/>
      <c r="C39" s="103"/>
      <c r="D39" s="100">
        <v>27</v>
      </c>
      <c r="E39" s="104" t="s">
        <v>166</v>
      </c>
      <c r="F39" s="105" t="s">
        <v>174</v>
      </c>
      <c r="G39" s="107" t="s">
        <v>206</v>
      </c>
      <c r="H39" s="107" t="s">
        <v>175</v>
      </c>
      <c r="I39" s="107" t="s">
        <v>207</v>
      </c>
      <c r="J39" s="140">
        <f>74-1</f>
        <v>73</v>
      </c>
      <c r="K39" s="116">
        <v>72</v>
      </c>
      <c r="L39" s="116">
        <v>79</v>
      </c>
      <c r="M39" s="116">
        <f>93+1</f>
        <v>94</v>
      </c>
      <c r="N39" s="116">
        <f t="shared" si="0"/>
        <v>80</v>
      </c>
      <c r="O39" s="116">
        <v>83</v>
      </c>
      <c r="P39" s="116">
        <v>80</v>
      </c>
    </row>
    <row r="40" spans="1:16" ht="40.799999999999997">
      <c r="A40" s="102">
        <v>11</v>
      </c>
      <c r="B40" s="103" t="s">
        <v>208</v>
      </c>
      <c r="C40" s="103" t="s">
        <v>209</v>
      </c>
      <c r="D40" s="100">
        <v>28</v>
      </c>
      <c r="E40" s="104" t="s">
        <v>166</v>
      </c>
      <c r="F40" s="105" t="s">
        <v>174</v>
      </c>
      <c r="G40" s="107" t="s">
        <v>206</v>
      </c>
      <c r="H40" s="107" t="s">
        <v>175</v>
      </c>
      <c r="I40" s="107" t="s">
        <v>210</v>
      </c>
      <c r="J40" s="140">
        <v>23</v>
      </c>
      <c r="K40" s="116">
        <v>23</v>
      </c>
      <c r="L40" s="116">
        <v>31</v>
      </c>
      <c r="M40" s="116">
        <v>48</v>
      </c>
      <c r="N40" s="116">
        <f t="shared" si="0"/>
        <v>31</v>
      </c>
      <c r="O40" s="116">
        <v>56</v>
      </c>
      <c r="P40" s="116">
        <v>81</v>
      </c>
    </row>
    <row r="41" spans="1:16" ht="40.799999999999997">
      <c r="A41" s="102"/>
      <c r="B41" s="103"/>
      <c r="C41" s="103"/>
      <c r="D41" s="100">
        <v>29</v>
      </c>
      <c r="E41" s="104" t="s">
        <v>166</v>
      </c>
      <c r="F41" s="104" t="s">
        <v>167</v>
      </c>
      <c r="G41" s="107" t="s">
        <v>206</v>
      </c>
      <c r="H41" s="107" t="s">
        <v>169</v>
      </c>
      <c r="I41" s="107" t="s">
        <v>210</v>
      </c>
      <c r="J41" s="140">
        <v>53</v>
      </c>
      <c r="K41" s="116">
        <v>53</v>
      </c>
      <c r="L41" s="116">
        <v>46</v>
      </c>
      <c r="M41" s="116">
        <v>56</v>
      </c>
      <c r="N41" s="116">
        <f t="shared" si="0"/>
        <v>52</v>
      </c>
      <c r="O41" s="116">
        <v>55</v>
      </c>
      <c r="P41" s="116">
        <v>57</v>
      </c>
    </row>
    <row r="42" spans="1:16" ht="30.6">
      <c r="A42" s="102">
        <v>11</v>
      </c>
      <c r="B42" s="103" t="s">
        <v>211</v>
      </c>
      <c r="C42" s="103" t="s">
        <v>212</v>
      </c>
      <c r="D42" s="100">
        <v>30</v>
      </c>
      <c r="E42" s="104" t="s">
        <v>166</v>
      </c>
      <c r="F42" s="105" t="s">
        <v>174</v>
      </c>
      <c r="G42" s="107" t="s">
        <v>213</v>
      </c>
      <c r="H42" s="107" t="s">
        <v>175</v>
      </c>
      <c r="I42" s="107" t="s">
        <v>214</v>
      </c>
      <c r="J42" s="140">
        <v>77</v>
      </c>
      <c r="K42" s="116">
        <v>71</v>
      </c>
      <c r="L42" s="116">
        <v>67</v>
      </c>
      <c r="M42" s="116">
        <v>78</v>
      </c>
      <c r="N42" s="116">
        <f t="shared" si="0"/>
        <v>73</v>
      </c>
      <c r="O42" s="116">
        <v>75</v>
      </c>
      <c r="P42" s="116">
        <v>75</v>
      </c>
    </row>
    <row r="43" spans="1:16" ht="30.6">
      <c r="A43" s="102"/>
      <c r="B43" s="103"/>
      <c r="C43" s="103"/>
      <c r="D43" s="100">
        <v>31</v>
      </c>
      <c r="E43" s="104" t="s">
        <v>166</v>
      </c>
      <c r="F43" s="105" t="s">
        <v>174</v>
      </c>
      <c r="G43" s="107" t="s">
        <v>215</v>
      </c>
      <c r="H43" s="107" t="s">
        <v>175</v>
      </c>
      <c r="I43" s="107" t="s">
        <v>202</v>
      </c>
      <c r="J43" s="140">
        <v>33</v>
      </c>
      <c r="K43" s="116">
        <v>33</v>
      </c>
      <c r="L43" s="116">
        <v>41</v>
      </c>
      <c r="M43" s="116">
        <v>57</v>
      </c>
      <c r="N43" s="116">
        <f t="shared" si="0"/>
        <v>41</v>
      </c>
      <c r="O43" s="116">
        <v>55</v>
      </c>
      <c r="P43" s="116">
        <v>55</v>
      </c>
    </row>
    <row r="44" spans="1:16" ht="30.6">
      <c r="A44" s="102">
        <v>11</v>
      </c>
      <c r="B44" s="103" t="s">
        <v>216</v>
      </c>
      <c r="C44" s="103" t="s">
        <v>217</v>
      </c>
      <c r="D44" s="100">
        <v>32</v>
      </c>
      <c r="E44" s="104" t="s">
        <v>166</v>
      </c>
      <c r="F44" s="105" t="s">
        <v>174</v>
      </c>
      <c r="G44" s="107" t="s">
        <v>215</v>
      </c>
      <c r="H44" s="107" t="s">
        <v>175</v>
      </c>
      <c r="I44" s="107" t="s">
        <v>218</v>
      </c>
      <c r="J44" s="140">
        <f>80-5</f>
        <v>75</v>
      </c>
      <c r="K44" s="116">
        <f>80-5</f>
        <v>75</v>
      </c>
      <c r="L44" s="116">
        <v>69</v>
      </c>
      <c r="M44" s="116">
        <f>86+5+5</f>
        <v>96</v>
      </c>
      <c r="N44" s="116">
        <f t="shared" si="0"/>
        <v>79</v>
      </c>
      <c r="O44" s="116">
        <v>79</v>
      </c>
      <c r="P44" s="116">
        <v>79</v>
      </c>
    </row>
    <row r="45" spans="1:16" ht="30.6">
      <c r="A45" s="102">
        <v>11</v>
      </c>
      <c r="B45" s="103" t="s">
        <v>219</v>
      </c>
      <c r="C45" s="103" t="s">
        <v>220</v>
      </c>
      <c r="D45" s="100">
        <v>33</v>
      </c>
      <c r="E45" s="104" t="s">
        <v>166</v>
      </c>
      <c r="F45" s="105" t="s">
        <v>174</v>
      </c>
      <c r="G45" s="107" t="s">
        <v>221</v>
      </c>
      <c r="H45" s="107" t="s">
        <v>175</v>
      </c>
      <c r="I45" s="107" t="s">
        <v>222</v>
      </c>
      <c r="J45" s="140">
        <f>34-2</f>
        <v>32</v>
      </c>
      <c r="K45" s="116">
        <f>32-3</f>
        <v>29</v>
      </c>
      <c r="L45" s="116">
        <v>24</v>
      </c>
      <c r="M45" s="116">
        <f>23+2+3</f>
        <v>28</v>
      </c>
      <c r="N45" s="116">
        <f t="shared" si="0"/>
        <v>28</v>
      </c>
      <c r="O45" s="116">
        <v>25</v>
      </c>
      <c r="P45" s="116">
        <v>25</v>
      </c>
    </row>
    <row r="46" spans="1:16" ht="30.6">
      <c r="A46" s="102">
        <v>11</v>
      </c>
      <c r="B46" s="103" t="s">
        <v>223</v>
      </c>
      <c r="C46" s="103" t="s">
        <v>224</v>
      </c>
      <c r="D46" s="100">
        <v>34</v>
      </c>
      <c r="E46" s="104" t="s">
        <v>166</v>
      </c>
      <c r="F46" s="105" t="s">
        <v>174</v>
      </c>
      <c r="G46" s="107" t="s">
        <v>225</v>
      </c>
      <c r="H46" s="107" t="s">
        <v>175</v>
      </c>
      <c r="I46" s="107" t="s">
        <v>226</v>
      </c>
      <c r="J46" s="140">
        <f>142+1</f>
        <v>143</v>
      </c>
      <c r="K46" s="116">
        <v>141</v>
      </c>
      <c r="L46" s="116">
        <v>122</v>
      </c>
      <c r="M46" s="116">
        <f>156-1</f>
        <v>155</v>
      </c>
      <c r="N46" s="116">
        <f t="shared" si="0"/>
        <v>140</v>
      </c>
      <c r="O46" s="116">
        <v>144</v>
      </c>
      <c r="P46" s="116">
        <v>144</v>
      </c>
    </row>
    <row r="47" spans="1:16" ht="40.799999999999997">
      <c r="A47" s="102"/>
      <c r="B47" s="103"/>
      <c r="C47" s="103"/>
      <c r="D47" s="100">
        <v>35</v>
      </c>
      <c r="E47" s="104" t="s">
        <v>166</v>
      </c>
      <c r="F47" s="105" t="s">
        <v>174</v>
      </c>
      <c r="G47" s="107" t="s">
        <v>225</v>
      </c>
      <c r="H47" s="107" t="s">
        <v>175</v>
      </c>
      <c r="I47" s="107" t="s">
        <v>227</v>
      </c>
      <c r="J47" s="140">
        <v>82</v>
      </c>
      <c r="K47" s="116">
        <v>82</v>
      </c>
      <c r="L47" s="116">
        <v>74</v>
      </c>
      <c r="M47" s="116">
        <v>90</v>
      </c>
      <c r="N47" s="116">
        <f t="shared" si="0"/>
        <v>82</v>
      </c>
      <c r="O47" s="116">
        <v>89</v>
      </c>
      <c r="P47" s="116">
        <v>91</v>
      </c>
    </row>
    <row r="48" spans="1:16" ht="40.799999999999997">
      <c r="A48" s="102"/>
      <c r="B48" s="103"/>
      <c r="C48" s="103"/>
      <c r="D48" s="100">
        <v>36</v>
      </c>
      <c r="E48" s="104" t="s">
        <v>166</v>
      </c>
      <c r="F48" s="105" t="s">
        <v>174</v>
      </c>
      <c r="G48" s="107" t="s">
        <v>225</v>
      </c>
      <c r="H48" s="107" t="s">
        <v>175</v>
      </c>
      <c r="I48" s="107" t="s">
        <v>228</v>
      </c>
      <c r="J48" s="140">
        <v>72</v>
      </c>
      <c r="K48" s="116">
        <v>71</v>
      </c>
      <c r="L48" s="116">
        <v>73</v>
      </c>
      <c r="M48" s="116">
        <v>78</v>
      </c>
      <c r="N48" s="116">
        <f t="shared" si="0"/>
        <v>74</v>
      </c>
      <c r="O48" s="116">
        <v>74</v>
      </c>
      <c r="P48" s="116">
        <v>74</v>
      </c>
    </row>
    <row r="49" spans="1:16" ht="30.6">
      <c r="A49" s="102"/>
      <c r="B49" s="103"/>
      <c r="C49" s="103"/>
      <c r="D49" s="100">
        <v>37</v>
      </c>
      <c r="E49" s="104" t="s">
        <v>166</v>
      </c>
      <c r="F49" s="105" t="s">
        <v>174</v>
      </c>
      <c r="G49" s="107" t="s">
        <v>225</v>
      </c>
      <c r="H49" s="107" t="s">
        <v>175</v>
      </c>
      <c r="I49" s="107" t="s">
        <v>229</v>
      </c>
      <c r="J49" s="140">
        <f>44-1</f>
        <v>43</v>
      </c>
      <c r="K49" s="116">
        <f>44-3</f>
        <v>41</v>
      </c>
      <c r="L49" s="116">
        <v>49</v>
      </c>
      <c r="M49" s="116">
        <f>60+1+3</f>
        <v>64</v>
      </c>
      <c r="N49" s="116">
        <f t="shared" si="0"/>
        <v>49</v>
      </c>
      <c r="O49" s="116">
        <v>49</v>
      </c>
      <c r="P49" s="116">
        <v>54</v>
      </c>
    </row>
    <row r="50" spans="1:16" ht="40.799999999999997">
      <c r="A50" s="102"/>
      <c r="B50" s="103"/>
      <c r="C50" s="103"/>
      <c r="D50" s="100">
        <v>38</v>
      </c>
      <c r="E50" s="104" t="s">
        <v>166</v>
      </c>
      <c r="F50" s="105" t="s">
        <v>174</v>
      </c>
      <c r="G50" s="107" t="s">
        <v>230</v>
      </c>
      <c r="H50" s="107" t="s">
        <v>175</v>
      </c>
      <c r="I50" s="107" t="s">
        <v>210</v>
      </c>
      <c r="J50" s="140">
        <v>79</v>
      </c>
      <c r="K50" s="116">
        <v>79</v>
      </c>
      <c r="L50" s="116">
        <v>56</v>
      </c>
      <c r="M50" s="116">
        <v>73</v>
      </c>
      <c r="N50" s="116">
        <f t="shared" si="0"/>
        <v>72</v>
      </c>
      <c r="O50" s="116">
        <v>70</v>
      </c>
      <c r="P50" s="116">
        <v>71</v>
      </c>
    </row>
    <row r="51" spans="1:16" ht="30.6">
      <c r="A51" s="102">
        <v>11</v>
      </c>
      <c r="B51" s="103" t="s">
        <v>231</v>
      </c>
      <c r="C51" s="103" t="s">
        <v>232</v>
      </c>
      <c r="D51" s="100">
        <v>39</v>
      </c>
      <c r="E51" s="104" t="s">
        <v>166</v>
      </c>
      <c r="F51" s="105" t="s">
        <v>174</v>
      </c>
      <c r="G51" s="107" t="s">
        <v>233</v>
      </c>
      <c r="H51" s="107" t="s">
        <v>175</v>
      </c>
      <c r="I51" s="107" t="s">
        <v>185</v>
      </c>
      <c r="J51" s="140">
        <f>103+1</f>
        <v>104</v>
      </c>
      <c r="K51" s="116">
        <v>103</v>
      </c>
      <c r="L51" s="116">
        <v>83</v>
      </c>
      <c r="M51" s="116">
        <f>99-1</f>
        <v>98</v>
      </c>
      <c r="N51" s="116">
        <f t="shared" si="0"/>
        <v>97</v>
      </c>
      <c r="O51" s="116">
        <v>90</v>
      </c>
      <c r="P51" s="116">
        <v>85</v>
      </c>
    </row>
    <row r="52" spans="1:16" ht="40.799999999999997">
      <c r="A52" s="102">
        <v>11</v>
      </c>
      <c r="B52" s="103" t="s">
        <v>234</v>
      </c>
      <c r="C52" s="103" t="s">
        <v>235</v>
      </c>
      <c r="D52" s="100">
        <v>40</v>
      </c>
      <c r="E52" s="104" t="s">
        <v>166</v>
      </c>
      <c r="F52" s="105" t="s">
        <v>174</v>
      </c>
      <c r="G52" s="107" t="s">
        <v>236</v>
      </c>
      <c r="H52" s="107" t="s">
        <v>175</v>
      </c>
      <c r="I52" s="107" t="s">
        <v>192</v>
      </c>
      <c r="J52" s="140">
        <v>99</v>
      </c>
      <c r="K52" s="116">
        <v>98</v>
      </c>
      <c r="L52" s="116">
        <v>79</v>
      </c>
      <c r="M52" s="116">
        <v>96</v>
      </c>
      <c r="N52" s="116">
        <f t="shared" si="0"/>
        <v>93</v>
      </c>
      <c r="O52" s="116">
        <v>88</v>
      </c>
      <c r="P52" s="116">
        <v>84</v>
      </c>
    </row>
    <row r="53" spans="1:16" ht="30.6">
      <c r="A53" s="102">
        <v>11</v>
      </c>
      <c r="B53" s="103" t="s">
        <v>237</v>
      </c>
      <c r="C53" s="103" t="s">
        <v>209</v>
      </c>
      <c r="D53" s="100">
        <v>41</v>
      </c>
      <c r="E53" s="104" t="s">
        <v>166</v>
      </c>
      <c r="F53" s="105" t="s">
        <v>174</v>
      </c>
      <c r="G53" s="107" t="s">
        <v>238</v>
      </c>
      <c r="H53" s="107" t="s">
        <v>175</v>
      </c>
      <c r="I53" s="107" t="s">
        <v>222</v>
      </c>
      <c r="J53" s="140">
        <v>52</v>
      </c>
      <c r="K53" s="116">
        <v>51</v>
      </c>
      <c r="L53" s="116">
        <v>60</v>
      </c>
      <c r="M53" s="116">
        <v>78</v>
      </c>
      <c r="N53" s="116">
        <f t="shared" si="0"/>
        <v>60</v>
      </c>
      <c r="O53" s="116">
        <v>60</v>
      </c>
      <c r="P53" s="116">
        <v>60</v>
      </c>
    </row>
    <row r="54" spans="1:16" ht="40.799999999999997">
      <c r="A54" s="102">
        <v>11</v>
      </c>
      <c r="B54" s="103" t="s">
        <v>239</v>
      </c>
      <c r="C54" s="103" t="s">
        <v>235</v>
      </c>
      <c r="D54" s="100">
        <v>42</v>
      </c>
      <c r="E54" s="104" t="s">
        <v>166</v>
      </c>
      <c r="F54" s="105" t="s">
        <v>174</v>
      </c>
      <c r="G54" s="107" t="s">
        <v>240</v>
      </c>
      <c r="H54" s="107" t="s">
        <v>175</v>
      </c>
      <c r="I54" s="107" t="s">
        <v>192</v>
      </c>
      <c r="J54" s="140">
        <v>100</v>
      </c>
      <c r="K54" s="116">
        <v>99</v>
      </c>
      <c r="L54" s="116">
        <v>71</v>
      </c>
      <c r="M54" s="116">
        <v>70</v>
      </c>
      <c r="N54" s="116">
        <f t="shared" si="0"/>
        <v>85</v>
      </c>
      <c r="O54" s="116">
        <v>65</v>
      </c>
      <c r="P54" s="116">
        <v>55</v>
      </c>
    </row>
    <row r="55" spans="1:16" ht="40.799999999999997">
      <c r="A55" s="102">
        <v>11</v>
      </c>
      <c r="B55" s="103" t="s">
        <v>241</v>
      </c>
      <c r="C55" s="103" t="s">
        <v>242</v>
      </c>
      <c r="D55" s="100">
        <v>43</v>
      </c>
      <c r="E55" s="104" t="s">
        <v>166</v>
      </c>
      <c r="F55" s="105" t="s">
        <v>174</v>
      </c>
      <c r="G55" s="107" t="s">
        <v>243</v>
      </c>
      <c r="H55" s="107" t="s">
        <v>175</v>
      </c>
      <c r="I55" s="107" t="s">
        <v>244</v>
      </c>
      <c r="J55" s="140">
        <v>97</v>
      </c>
      <c r="K55" s="116">
        <v>96</v>
      </c>
      <c r="L55" s="116">
        <v>81</v>
      </c>
      <c r="M55" s="116">
        <v>98</v>
      </c>
      <c r="N55" s="116">
        <f t="shared" si="0"/>
        <v>93</v>
      </c>
      <c r="O55" s="116">
        <v>93</v>
      </c>
      <c r="P55" s="116">
        <v>93</v>
      </c>
    </row>
    <row r="56" spans="1:16" ht="30.6">
      <c r="A56" s="102">
        <v>11</v>
      </c>
      <c r="B56" s="103" t="s">
        <v>245</v>
      </c>
      <c r="C56" s="103" t="s">
        <v>246</v>
      </c>
      <c r="D56" s="100">
        <v>44</v>
      </c>
      <c r="E56" s="104" t="s">
        <v>166</v>
      </c>
      <c r="F56" s="105" t="s">
        <v>167</v>
      </c>
      <c r="G56" s="107" t="s">
        <v>247</v>
      </c>
      <c r="H56" s="107" t="s">
        <v>169</v>
      </c>
      <c r="I56" s="107" t="s">
        <v>222</v>
      </c>
      <c r="J56" s="140">
        <f>49-2</f>
        <v>47</v>
      </c>
      <c r="K56" s="116">
        <f>43-2</f>
        <v>41</v>
      </c>
      <c r="L56" s="116">
        <v>44</v>
      </c>
      <c r="M56" s="116">
        <f>53+2+2</f>
        <v>57</v>
      </c>
      <c r="N56" s="116">
        <f t="shared" si="0"/>
        <v>47</v>
      </c>
      <c r="O56" s="116">
        <v>45</v>
      </c>
      <c r="P56" s="116">
        <v>45</v>
      </c>
    </row>
    <row r="57" spans="1:16" ht="30.6">
      <c r="A57" s="102">
        <v>11</v>
      </c>
      <c r="B57" s="103" t="s">
        <v>248</v>
      </c>
      <c r="C57" s="103" t="s">
        <v>242</v>
      </c>
      <c r="D57" s="100">
        <v>45</v>
      </c>
      <c r="E57" s="104" t="s">
        <v>166</v>
      </c>
      <c r="F57" s="105" t="s">
        <v>174</v>
      </c>
      <c r="G57" s="107" t="s">
        <v>249</v>
      </c>
      <c r="H57" s="107" t="s">
        <v>175</v>
      </c>
      <c r="I57" s="107" t="s">
        <v>172</v>
      </c>
      <c r="J57" s="140">
        <f>104-3</f>
        <v>101</v>
      </c>
      <c r="K57" s="116">
        <f>104-3</f>
        <v>101</v>
      </c>
      <c r="L57" s="116">
        <v>87</v>
      </c>
      <c r="M57" s="116">
        <f>103+3+3</f>
        <v>109</v>
      </c>
      <c r="N57" s="116">
        <f t="shared" si="0"/>
        <v>100</v>
      </c>
      <c r="O57" s="116">
        <v>97</v>
      </c>
      <c r="P57" s="116">
        <v>96</v>
      </c>
    </row>
    <row r="58" spans="1:16" ht="30.6">
      <c r="A58" s="102">
        <v>11</v>
      </c>
      <c r="B58" s="103" t="s">
        <v>250</v>
      </c>
      <c r="C58" s="103" t="s">
        <v>224</v>
      </c>
      <c r="D58" s="100">
        <v>46</v>
      </c>
      <c r="E58" s="104" t="s">
        <v>166</v>
      </c>
      <c r="F58" s="105" t="s">
        <v>174</v>
      </c>
      <c r="G58" s="107" t="s">
        <v>251</v>
      </c>
      <c r="H58" s="107" t="s">
        <v>175</v>
      </c>
      <c r="I58" s="107" t="s">
        <v>199</v>
      </c>
      <c r="J58" s="140">
        <v>74</v>
      </c>
      <c r="K58" s="116">
        <v>68</v>
      </c>
      <c r="L58" s="116">
        <v>47</v>
      </c>
      <c r="M58" s="116">
        <v>58</v>
      </c>
      <c r="N58" s="116">
        <f t="shared" si="0"/>
        <v>62</v>
      </c>
      <c r="O58" s="116">
        <v>51</v>
      </c>
      <c r="P58" s="116">
        <v>51</v>
      </c>
    </row>
    <row r="59" spans="1:16" ht="30.6">
      <c r="A59" s="102">
        <v>11</v>
      </c>
      <c r="B59" s="103" t="s">
        <v>252</v>
      </c>
      <c r="C59" s="103" t="s">
        <v>253</v>
      </c>
      <c r="D59" s="100">
        <v>47</v>
      </c>
      <c r="E59" s="104" t="s">
        <v>166</v>
      </c>
      <c r="F59" s="105" t="s">
        <v>174</v>
      </c>
      <c r="G59" s="107" t="s">
        <v>254</v>
      </c>
      <c r="H59" s="107" t="s">
        <v>175</v>
      </c>
      <c r="I59" s="107" t="s">
        <v>244</v>
      </c>
      <c r="J59" s="140">
        <v>89</v>
      </c>
      <c r="K59" s="116">
        <v>86</v>
      </c>
      <c r="L59" s="116">
        <v>72</v>
      </c>
      <c r="M59" s="116">
        <v>89</v>
      </c>
      <c r="N59" s="116">
        <f t="shared" si="0"/>
        <v>84</v>
      </c>
      <c r="O59" s="116">
        <v>84</v>
      </c>
      <c r="P59" s="116">
        <v>84</v>
      </c>
    </row>
    <row r="60" spans="1:16" ht="30.6">
      <c r="A60" s="102">
        <v>11</v>
      </c>
      <c r="B60" s="103" t="s">
        <v>255</v>
      </c>
      <c r="C60" s="103" t="s">
        <v>256</v>
      </c>
      <c r="D60" s="100">
        <v>48</v>
      </c>
      <c r="E60" s="104" t="s">
        <v>166</v>
      </c>
      <c r="F60" s="105" t="s">
        <v>174</v>
      </c>
      <c r="G60" s="107" t="s">
        <v>257</v>
      </c>
      <c r="H60" s="107" t="s">
        <v>175</v>
      </c>
      <c r="I60" s="107" t="s">
        <v>179</v>
      </c>
      <c r="J60" s="140">
        <v>96</v>
      </c>
      <c r="K60" s="116">
        <v>96</v>
      </c>
      <c r="L60" s="116">
        <v>84</v>
      </c>
      <c r="M60" s="116">
        <v>100</v>
      </c>
      <c r="N60" s="116">
        <f t="shared" si="0"/>
        <v>94</v>
      </c>
      <c r="O60" s="116">
        <v>94</v>
      </c>
      <c r="P60" s="116">
        <v>94</v>
      </c>
    </row>
    <row r="61" spans="1:16" ht="30.6">
      <c r="A61" s="102">
        <v>11</v>
      </c>
      <c r="B61" s="103" t="s">
        <v>258</v>
      </c>
      <c r="C61" s="103" t="s">
        <v>259</v>
      </c>
      <c r="D61" s="100">
        <v>49</v>
      </c>
      <c r="E61" s="104" t="s">
        <v>166</v>
      </c>
      <c r="F61" s="105" t="s">
        <v>174</v>
      </c>
      <c r="G61" s="107" t="s">
        <v>260</v>
      </c>
      <c r="H61" s="107" t="s">
        <v>175</v>
      </c>
      <c r="I61" s="107" t="s">
        <v>188</v>
      </c>
      <c r="J61" s="140">
        <v>103</v>
      </c>
      <c r="K61" s="116">
        <v>102</v>
      </c>
      <c r="L61" s="116">
        <v>83</v>
      </c>
      <c r="M61" s="116">
        <v>100</v>
      </c>
      <c r="N61" s="116">
        <f t="shared" si="0"/>
        <v>97</v>
      </c>
      <c r="O61" s="116">
        <v>97</v>
      </c>
      <c r="P61" s="116">
        <v>97</v>
      </c>
    </row>
    <row r="62" spans="1:16" ht="30.6">
      <c r="A62" s="102"/>
      <c r="B62" s="103"/>
      <c r="C62" s="103"/>
      <c r="D62" s="100">
        <v>50</v>
      </c>
      <c r="E62" s="104" t="s">
        <v>166</v>
      </c>
      <c r="F62" s="105" t="s">
        <v>174</v>
      </c>
      <c r="G62" s="107" t="s">
        <v>260</v>
      </c>
      <c r="H62" s="107" t="s">
        <v>175</v>
      </c>
      <c r="I62" s="107" t="s">
        <v>261</v>
      </c>
      <c r="J62" s="140">
        <v>17</v>
      </c>
      <c r="K62" s="116">
        <v>17</v>
      </c>
      <c r="L62" s="116">
        <v>17</v>
      </c>
      <c r="M62" s="116">
        <v>17</v>
      </c>
      <c r="N62" s="116">
        <f t="shared" si="0"/>
        <v>17</v>
      </c>
      <c r="O62" s="116">
        <v>24</v>
      </c>
      <c r="P62" s="116">
        <v>29</v>
      </c>
    </row>
    <row r="63" spans="1:16" ht="30.6">
      <c r="A63" s="102"/>
      <c r="B63" s="103"/>
      <c r="C63" s="103"/>
      <c r="D63" s="100">
        <v>51</v>
      </c>
      <c r="E63" s="104" t="s">
        <v>166</v>
      </c>
      <c r="F63" s="105" t="s">
        <v>174</v>
      </c>
      <c r="G63" s="107" t="s">
        <v>260</v>
      </c>
      <c r="H63" s="107" t="s">
        <v>175</v>
      </c>
      <c r="I63" s="107" t="s">
        <v>187</v>
      </c>
      <c r="J63" s="140">
        <v>84</v>
      </c>
      <c r="K63" s="116">
        <v>84</v>
      </c>
      <c r="L63" s="116">
        <v>74</v>
      </c>
      <c r="M63" s="116">
        <v>90</v>
      </c>
      <c r="N63" s="116">
        <f t="shared" si="0"/>
        <v>83</v>
      </c>
      <c r="O63" s="116">
        <v>87</v>
      </c>
      <c r="P63" s="116">
        <v>95</v>
      </c>
    </row>
    <row r="64" spans="1:16" ht="30.6">
      <c r="A64" s="102">
        <v>11</v>
      </c>
      <c r="B64" s="103" t="s">
        <v>262</v>
      </c>
      <c r="C64" s="103" t="s">
        <v>253</v>
      </c>
      <c r="D64" s="100">
        <v>52</v>
      </c>
      <c r="E64" s="104" t="s">
        <v>166</v>
      </c>
      <c r="F64" s="105" t="s">
        <v>174</v>
      </c>
      <c r="G64" s="107" t="s">
        <v>263</v>
      </c>
      <c r="H64" s="107" t="s">
        <v>175</v>
      </c>
      <c r="I64" s="107" t="s">
        <v>244</v>
      </c>
      <c r="J64" s="140">
        <v>76</v>
      </c>
      <c r="K64" s="116">
        <v>74</v>
      </c>
      <c r="L64" s="116">
        <v>66</v>
      </c>
      <c r="M64" s="116">
        <v>80</v>
      </c>
      <c r="N64" s="116">
        <f t="shared" si="0"/>
        <v>74</v>
      </c>
      <c r="O64" s="116">
        <v>74</v>
      </c>
      <c r="P64" s="116">
        <v>74</v>
      </c>
    </row>
    <row r="65" spans="1:16" ht="30.6">
      <c r="A65" s="102">
        <v>11</v>
      </c>
      <c r="B65" s="103" t="s">
        <v>264</v>
      </c>
      <c r="C65" s="103" t="s">
        <v>253</v>
      </c>
      <c r="D65" s="100">
        <v>53</v>
      </c>
      <c r="E65" s="104" t="s">
        <v>166</v>
      </c>
      <c r="F65" s="105" t="s">
        <v>174</v>
      </c>
      <c r="G65" s="107" t="s">
        <v>265</v>
      </c>
      <c r="H65" s="107" t="s">
        <v>175</v>
      </c>
      <c r="I65" s="107" t="s">
        <v>214</v>
      </c>
      <c r="J65" s="140">
        <v>27</v>
      </c>
      <c r="K65" s="116">
        <v>27</v>
      </c>
      <c r="L65" s="116">
        <v>16</v>
      </c>
      <c r="M65" s="116">
        <v>15</v>
      </c>
      <c r="N65" s="116">
        <f t="shared" si="0"/>
        <v>21</v>
      </c>
      <c r="O65" s="116">
        <v>7</v>
      </c>
      <c r="P65" s="116">
        <v>0</v>
      </c>
    </row>
    <row r="66" spans="1:16" ht="30.6">
      <c r="A66" s="102"/>
      <c r="B66" s="103"/>
      <c r="C66" s="103"/>
      <c r="D66" s="100">
        <v>54</v>
      </c>
      <c r="E66" s="104" t="s">
        <v>166</v>
      </c>
      <c r="F66" s="105" t="s">
        <v>174</v>
      </c>
      <c r="G66" s="107" t="s">
        <v>265</v>
      </c>
      <c r="H66" s="107" t="s">
        <v>175</v>
      </c>
      <c r="I66" s="107" t="s">
        <v>170</v>
      </c>
      <c r="J66" s="140">
        <v>94</v>
      </c>
      <c r="K66" s="116">
        <v>94</v>
      </c>
      <c r="L66" s="116">
        <v>76</v>
      </c>
      <c r="M66" s="116">
        <v>94</v>
      </c>
      <c r="N66" s="116">
        <f t="shared" si="0"/>
        <v>90</v>
      </c>
      <c r="O66" s="116">
        <v>90</v>
      </c>
      <c r="P66" s="116">
        <v>90</v>
      </c>
    </row>
    <row r="67" spans="1:16" ht="30.6">
      <c r="A67" s="102"/>
      <c r="B67" s="103"/>
      <c r="C67" s="103"/>
      <c r="D67" s="100">
        <v>55</v>
      </c>
      <c r="E67" s="104" t="s">
        <v>166</v>
      </c>
      <c r="F67" s="105" t="s">
        <v>174</v>
      </c>
      <c r="G67" s="107" t="s">
        <v>265</v>
      </c>
      <c r="H67" s="107" t="s">
        <v>175</v>
      </c>
      <c r="I67" s="107" t="s">
        <v>176</v>
      </c>
      <c r="J67" s="140">
        <v>40</v>
      </c>
      <c r="K67" s="116">
        <v>39</v>
      </c>
      <c r="L67" s="116">
        <v>23</v>
      </c>
      <c r="M67" s="116">
        <v>22</v>
      </c>
      <c r="N67" s="116">
        <f t="shared" si="0"/>
        <v>31</v>
      </c>
      <c r="O67" s="116">
        <v>11</v>
      </c>
      <c r="P67" s="116">
        <v>0</v>
      </c>
    </row>
    <row r="68" spans="1:16" ht="40.799999999999997">
      <c r="A68" s="102"/>
      <c r="B68" s="103"/>
      <c r="C68" s="103"/>
      <c r="D68" s="100">
        <v>56</v>
      </c>
      <c r="E68" s="104" t="s">
        <v>166</v>
      </c>
      <c r="F68" s="105" t="s">
        <v>174</v>
      </c>
      <c r="G68" s="107" t="s">
        <v>265</v>
      </c>
      <c r="H68" s="107" t="s">
        <v>175</v>
      </c>
      <c r="I68" s="107" t="s">
        <v>266</v>
      </c>
      <c r="J68" s="140">
        <v>94</v>
      </c>
      <c r="K68" s="116">
        <v>93</v>
      </c>
      <c r="L68" s="116">
        <v>73</v>
      </c>
      <c r="M68" s="116">
        <v>72</v>
      </c>
      <c r="N68" s="116">
        <f t="shared" si="0"/>
        <v>83</v>
      </c>
      <c r="O68" s="116">
        <v>70</v>
      </c>
      <c r="P68" s="116">
        <v>48</v>
      </c>
    </row>
    <row r="69" spans="1:16" ht="30.6">
      <c r="A69" s="102"/>
      <c r="B69" s="103"/>
      <c r="C69" s="103"/>
      <c r="D69" s="100">
        <v>57</v>
      </c>
      <c r="E69" s="104" t="s">
        <v>166</v>
      </c>
      <c r="F69" s="105" t="s">
        <v>174</v>
      </c>
      <c r="G69" s="107" t="s">
        <v>265</v>
      </c>
      <c r="H69" s="107" t="s">
        <v>175</v>
      </c>
      <c r="I69" s="107" t="s">
        <v>177</v>
      </c>
      <c r="J69" s="140">
        <v>118</v>
      </c>
      <c r="K69" s="116">
        <v>117</v>
      </c>
      <c r="L69" s="116">
        <v>103</v>
      </c>
      <c r="M69" s="116">
        <v>117</v>
      </c>
      <c r="N69" s="116">
        <f t="shared" si="0"/>
        <v>114</v>
      </c>
      <c r="O69" s="116">
        <v>103</v>
      </c>
      <c r="P69" s="116">
        <v>78</v>
      </c>
    </row>
    <row r="70" spans="1:16" ht="30.6">
      <c r="A70" s="102">
        <v>11</v>
      </c>
      <c r="B70" s="103" t="s">
        <v>267</v>
      </c>
      <c r="C70" s="103" t="s">
        <v>268</v>
      </c>
      <c r="D70" s="100">
        <v>58</v>
      </c>
      <c r="E70" s="104" t="s">
        <v>166</v>
      </c>
      <c r="F70" s="105" t="s">
        <v>174</v>
      </c>
      <c r="G70" s="107" t="s">
        <v>269</v>
      </c>
      <c r="H70" s="107" t="s">
        <v>175</v>
      </c>
      <c r="I70" s="107" t="s">
        <v>244</v>
      </c>
      <c r="J70" s="140">
        <v>99</v>
      </c>
      <c r="K70" s="116">
        <v>99</v>
      </c>
      <c r="L70" s="116">
        <v>82</v>
      </c>
      <c r="M70" s="116">
        <v>100</v>
      </c>
      <c r="N70" s="116">
        <f t="shared" si="0"/>
        <v>95</v>
      </c>
      <c r="O70" s="116">
        <v>95</v>
      </c>
      <c r="P70" s="116">
        <v>95</v>
      </c>
    </row>
    <row r="71" spans="1:16" ht="30.6">
      <c r="A71" s="102">
        <v>11</v>
      </c>
      <c r="B71" s="103" t="s">
        <v>270</v>
      </c>
      <c r="C71" s="103" t="s">
        <v>268</v>
      </c>
      <c r="D71" s="100">
        <v>59</v>
      </c>
      <c r="E71" s="104" t="s">
        <v>166</v>
      </c>
      <c r="F71" s="105" t="s">
        <v>174</v>
      </c>
      <c r="G71" s="107" t="s">
        <v>271</v>
      </c>
      <c r="H71" s="107" t="s">
        <v>175</v>
      </c>
      <c r="I71" s="107" t="s">
        <v>222</v>
      </c>
      <c r="J71" s="140">
        <v>97</v>
      </c>
      <c r="K71" s="116">
        <f>95-2</f>
        <v>93</v>
      </c>
      <c r="L71" s="116">
        <v>82</v>
      </c>
      <c r="M71" s="116">
        <f>96+2</f>
        <v>98</v>
      </c>
      <c r="N71" s="116">
        <f t="shared" si="0"/>
        <v>93</v>
      </c>
      <c r="O71" s="116">
        <v>90</v>
      </c>
      <c r="P71" s="116">
        <v>90</v>
      </c>
    </row>
    <row r="72" spans="1:16" ht="40.799999999999997">
      <c r="A72" s="102">
        <v>11</v>
      </c>
      <c r="B72" s="103" t="s">
        <v>272</v>
      </c>
      <c r="C72" s="103" t="s">
        <v>268</v>
      </c>
      <c r="D72" s="100">
        <v>60</v>
      </c>
      <c r="E72" s="104" t="s">
        <v>166</v>
      </c>
      <c r="F72" s="105" t="s">
        <v>174</v>
      </c>
      <c r="G72" s="107" t="s">
        <v>273</v>
      </c>
      <c r="H72" s="107" t="s">
        <v>169</v>
      </c>
      <c r="I72" s="107" t="s">
        <v>210</v>
      </c>
      <c r="J72" s="140">
        <v>32</v>
      </c>
      <c r="K72" s="116">
        <v>32</v>
      </c>
      <c r="L72" s="116">
        <v>19</v>
      </c>
      <c r="M72" s="116">
        <v>29</v>
      </c>
      <c r="N72" s="116">
        <f t="shared" si="0"/>
        <v>28</v>
      </c>
      <c r="O72" s="116">
        <v>34</v>
      </c>
      <c r="P72" s="116">
        <v>49</v>
      </c>
    </row>
    <row r="73" spans="1:16" ht="40.799999999999997">
      <c r="A73" s="102"/>
      <c r="B73" s="103"/>
      <c r="C73" s="103"/>
      <c r="D73" s="100">
        <v>61</v>
      </c>
      <c r="E73" s="104" t="s">
        <v>166</v>
      </c>
      <c r="F73" s="105" t="s">
        <v>174</v>
      </c>
      <c r="G73" s="107" t="s">
        <v>273</v>
      </c>
      <c r="H73" s="107" t="s">
        <v>175</v>
      </c>
      <c r="I73" s="107" t="s">
        <v>192</v>
      </c>
      <c r="J73" s="140">
        <v>70</v>
      </c>
      <c r="K73" s="116">
        <v>69</v>
      </c>
      <c r="L73" s="116">
        <v>53</v>
      </c>
      <c r="M73" s="116">
        <v>69</v>
      </c>
      <c r="N73" s="116">
        <f t="shared" si="0"/>
        <v>65</v>
      </c>
      <c r="O73" s="116">
        <v>62</v>
      </c>
      <c r="P73" s="116">
        <v>58</v>
      </c>
    </row>
    <row r="74" spans="1:16" ht="51">
      <c r="A74" s="102"/>
      <c r="B74" s="103"/>
      <c r="C74" s="103"/>
      <c r="D74" s="100">
        <v>62</v>
      </c>
      <c r="E74" s="104" t="s">
        <v>166</v>
      </c>
      <c r="F74" s="105" t="s">
        <v>174</v>
      </c>
      <c r="G74" s="107" t="s">
        <v>273</v>
      </c>
      <c r="H74" s="107" t="s">
        <v>175</v>
      </c>
      <c r="I74" s="107" t="s">
        <v>207</v>
      </c>
      <c r="J74" s="140">
        <v>152</v>
      </c>
      <c r="K74" s="116">
        <v>146</v>
      </c>
      <c r="L74" s="116">
        <v>108</v>
      </c>
      <c r="M74" s="116">
        <v>138</v>
      </c>
      <c r="N74" s="116">
        <f t="shared" si="0"/>
        <v>136</v>
      </c>
      <c r="O74" s="116">
        <v>95</v>
      </c>
      <c r="P74" s="116">
        <v>87</v>
      </c>
    </row>
    <row r="75" spans="1:16" ht="30.6">
      <c r="A75" s="102"/>
      <c r="B75" s="103"/>
      <c r="C75" s="103"/>
      <c r="D75" s="100">
        <v>63</v>
      </c>
      <c r="E75" s="104" t="s">
        <v>166</v>
      </c>
      <c r="F75" s="105" t="s">
        <v>174</v>
      </c>
      <c r="G75" s="107" t="s">
        <v>273</v>
      </c>
      <c r="H75" s="107" t="s">
        <v>175</v>
      </c>
      <c r="I75" s="107" t="s">
        <v>179</v>
      </c>
      <c r="J75" s="140">
        <v>68</v>
      </c>
      <c r="K75" s="116">
        <v>66</v>
      </c>
      <c r="L75" s="116">
        <v>54</v>
      </c>
      <c r="M75" s="116">
        <v>71</v>
      </c>
      <c r="N75" s="116">
        <f t="shared" si="0"/>
        <v>65</v>
      </c>
      <c r="O75" s="116">
        <v>65</v>
      </c>
      <c r="P75" s="116">
        <v>65</v>
      </c>
    </row>
    <row r="76" spans="1:16" ht="30.6">
      <c r="A76" s="102"/>
      <c r="B76" s="103"/>
      <c r="C76" s="103"/>
      <c r="D76" s="100">
        <v>64</v>
      </c>
      <c r="E76" s="104" t="s">
        <v>166</v>
      </c>
      <c r="F76" s="105" t="s">
        <v>174</v>
      </c>
      <c r="G76" s="107" t="s">
        <v>273</v>
      </c>
      <c r="H76" s="107" t="s">
        <v>175</v>
      </c>
      <c r="I76" s="107" t="s">
        <v>170</v>
      </c>
      <c r="J76" s="140">
        <v>23</v>
      </c>
      <c r="K76" s="116">
        <v>23</v>
      </c>
      <c r="L76" s="116">
        <v>30</v>
      </c>
      <c r="M76" s="116">
        <v>48</v>
      </c>
      <c r="N76" s="116">
        <f t="shared" si="0"/>
        <v>31</v>
      </c>
      <c r="O76" s="116">
        <v>31</v>
      </c>
      <c r="P76" s="116">
        <v>31</v>
      </c>
    </row>
    <row r="77" spans="1:16" ht="40.799999999999997">
      <c r="A77" s="102"/>
      <c r="B77" s="103"/>
      <c r="C77" s="103"/>
      <c r="D77" s="100">
        <v>65</v>
      </c>
      <c r="E77" s="104" t="s">
        <v>166</v>
      </c>
      <c r="F77" s="105" t="s">
        <v>174</v>
      </c>
      <c r="G77" s="107" t="s">
        <v>273</v>
      </c>
      <c r="H77" s="107" t="s">
        <v>175</v>
      </c>
      <c r="I77" s="107" t="s">
        <v>266</v>
      </c>
      <c r="J77" s="140">
        <f>15-2</f>
        <v>13</v>
      </c>
      <c r="K77" s="116">
        <f>14-1</f>
        <v>13</v>
      </c>
      <c r="L77" s="116">
        <v>14</v>
      </c>
      <c r="M77" s="116">
        <f>14+2+1</f>
        <v>17</v>
      </c>
      <c r="N77" s="116">
        <f t="shared" si="0"/>
        <v>14</v>
      </c>
      <c r="O77" s="116">
        <v>8</v>
      </c>
      <c r="P77" s="116">
        <v>20</v>
      </c>
    </row>
    <row r="78" spans="1:16" ht="30.6">
      <c r="A78" s="102"/>
      <c r="B78" s="103"/>
      <c r="C78" s="103"/>
      <c r="D78" s="100">
        <v>66</v>
      </c>
      <c r="E78" s="104" t="s">
        <v>166</v>
      </c>
      <c r="F78" s="105" t="s">
        <v>174</v>
      </c>
      <c r="G78" s="107" t="s">
        <v>273</v>
      </c>
      <c r="H78" s="107" t="s">
        <v>175</v>
      </c>
      <c r="I78" s="107" t="s">
        <v>261</v>
      </c>
      <c r="J78" s="140">
        <v>22</v>
      </c>
      <c r="K78" s="116">
        <v>22</v>
      </c>
      <c r="L78" s="116">
        <v>22</v>
      </c>
      <c r="M78" s="116">
        <v>22</v>
      </c>
      <c r="N78" s="116">
        <f t="shared" si="0"/>
        <v>22</v>
      </c>
      <c r="O78" s="116">
        <v>18</v>
      </c>
      <c r="P78" s="116">
        <v>25</v>
      </c>
    </row>
    <row r="79" spans="1:16" ht="30.6">
      <c r="A79" s="102">
        <v>11</v>
      </c>
      <c r="B79" s="103" t="s">
        <v>274</v>
      </c>
      <c r="C79" s="103" t="s">
        <v>253</v>
      </c>
      <c r="D79" s="100">
        <v>67</v>
      </c>
      <c r="E79" s="104" t="s">
        <v>166</v>
      </c>
      <c r="F79" s="105" t="s">
        <v>174</v>
      </c>
      <c r="G79" s="107" t="s">
        <v>275</v>
      </c>
      <c r="H79" s="107" t="s">
        <v>175</v>
      </c>
      <c r="I79" s="107" t="s">
        <v>244</v>
      </c>
      <c r="J79" s="140">
        <v>76</v>
      </c>
      <c r="K79" s="116">
        <f>72+1</f>
        <v>73</v>
      </c>
      <c r="L79" s="116">
        <v>68</v>
      </c>
      <c r="M79" s="116">
        <f>83-1</f>
        <v>82</v>
      </c>
      <c r="N79" s="116">
        <f t="shared" si="0"/>
        <v>75</v>
      </c>
      <c r="O79" s="116">
        <v>75</v>
      </c>
      <c r="P79" s="116">
        <v>75</v>
      </c>
    </row>
    <row r="80" spans="1:16" ht="30.6">
      <c r="A80" s="102"/>
      <c r="B80" s="103"/>
      <c r="C80" s="103"/>
      <c r="D80" s="100">
        <v>68</v>
      </c>
      <c r="E80" s="104" t="s">
        <v>166</v>
      </c>
      <c r="F80" s="105" t="s">
        <v>174</v>
      </c>
      <c r="G80" s="107" t="s">
        <v>275</v>
      </c>
      <c r="H80" s="107" t="s">
        <v>175</v>
      </c>
      <c r="I80" s="107" t="s">
        <v>172</v>
      </c>
      <c r="J80" s="140">
        <f>91-3</f>
        <v>88</v>
      </c>
      <c r="K80" s="116">
        <f>90-3</f>
        <v>87</v>
      </c>
      <c r="L80" s="116">
        <v>80</v>
      </c>
      <c r="M80" s="116">
        <f>96+3+3</f>
        <v>102</v>
      </c>
      <c r="N80" s="116">
        <f t="shared" si="0"/>
        <v>89</v>
      </c>
      <c r="O80" s="116">
        <v>93</v>
      </c>
      <c r="P80" s="116">
        <v>95</v>
      </c>
    </row>
    <row r="81" spans="1:106" ht="30.6">
      <c r="A81" s="102"/>
      <c r="B81" s="103"/>
      <c r="C81" s="103"/>
      <c r="D81" s="100">
        <v>69</v>
      </c>
      <c r="E81" s="104" t="s">
        <v>166</v>
      </c>
      <c r="F81" s="104" t="s">
        <v>167</v>
      </c>
      <c r="G81" s="107" t="s">
        <v>276</v>
      </c>
      <c r="H81" s="107" t="s">
        <v>169</v>
      </c>
      <c r="I81" s="107" t="s">
        <v>229</v>
      </c>
      <c r="J81" s="140">
        <v>15</v>
      </c>
      <c r="K81" s="116">
        <v>15</v>
      </c>
      <c r="L81" s="116">
        <v>15</v>
      </c>
      <c r="M81" s="116">
        <v>15</v>
      </c>
      <c r="N81" s="116">
        <f t="shared" si="0"/>
        <v>15</v>
      </c>
      <c r="O81" s="116">
        <v>27</v>
      </c>
      <c r="P81" s="116">
        <v>25</v>
      </c>
    </row>
    <row r="82" spans="1:106" ht="30.6">
      <c r="A82" s="102">
        <v>11</v>
      </c>
      <c r="B82" s="103" t="s">
        <v>277</v>
      </c>
      <c r="C82" s="103" t="s">
        <v>278</v>
      </c>
      <c r="D82" s="100">
        <v>70</v>
      </c>
      <c r="E82" s="104" t="s">
        <v>166</v>
      </c>
      <c r="F82" s="105" t="s">
        <v>174</v>
      </c>
      <c r="G82" s="107" t="s">
        <v>279</v>
      </c>
      <c r="H82" s="107" t="s">
        <v>175</v>
      </c>
      <c r="I82" s="107" t="s">
        <v>229</v>
      </c>
      <c r="J82" s="140">
        <v>82</v>
      </c>
      <c r="K82" s="116">
        <v>82</v>
      </c>
      <c r="L82" s="116">
        <v>90</v>
      </c>
      <c r="M82" s="116">
        <v>107</v>
      </c>
      <c r="N82" s="116">
        <f t="shared" si="0"/>
        <v>90</v>
      </c>
      <c r="O82" s="116">
        <v>100</v>
      </c>
      <c r="P82" s="116">
        <v>102</v>
      </c>
    </row>
    <row r="83" spans="1:106" ht="30.6">
      <c r="A83" s="102"/>
      <c r="B83" s="103"/>
      <c r="C83" s="103"/>
      <c r="D83" s="100">
        <v>71</v>
      </c>
      <c r="E83" s="104" t="s">
        <v>166</v>
      </c>
      <c r="F83" s="104" t="s">
        <v>167</v>
      </c>
      <c r="G83" s="107" t="s">
        <v>279</v>
      </c>
      <c r="H83" s="107" t="s">
        <v>169</v>
      </c>
      <c r="I83" s="107" t="s">
        <v>229</v>
      </c>
      <c r="J83" s="140">
        <f>105+1</f>
        <v>106</v>
      </c>
      <c r="K83" s="116">
        <f>87+4</f>
        <v>91</v>
      </c>
      <c r="L83" s="116">
        <v>93</v>
      </c>
      <c r="M83" s="116">
        <f>115-1-4</f>
        <v>110</v>
      </c>
      <c r="N83" s="116">
        <f t="shared" si="0"/>
        <v>100</v>
      </c>
      <c r="O83" s="116">
        <v>100</v>
      </c>
      <c r="P83" s="116">
        <v>79</v>
      </c>
    </row>
    <row r="84" spans="1:106" ht="30.6">
      <c r="A84" s="102"/>
      <c r="B84" s="103"/>
      <c r="C84" s="103"/>
      <c r="D84" s="100">
        <v>72</v>
      </c>
      <c r="E84" s="104" t="s">
        <v>166</v>
      </c>
      <c r="F84" s="105" t="s">
        <v>174</v>
      </c>
      <c r="G84" s="107" t="s">
        <v>280</v>
      </c>
      <c r="H84" s="107" t="s">
        <v>175</v>
      </c>
      <c r="I84" s="107" t="s">
        <v>185</v>
      </c>
      <c r="J84" s="140">
        <v>50</v>
      </c>
      <c r="K84" s="116">
        <v>48</v>
      </c>
      <c r="L84" s="116">
        <v>55</v>
      </c>
      <c r="M84" s="116">
        <v>72</v>
      </c>
      <c r="N84" s="116">
        <f t="shared" si="0"/>
        <v>56</v>
      </c>
      <c r="O84" s="116">
        <v>60</v>
      </c>
      <c r="P84" s="116">
        <v>60</v>
      </c>
    </row>
    <row r="85" spans="1:106" ht="30.6">
      <c r="A85" s="102">
        <v>11</v>
      </c>
      <c r="B85" s="103" t="s">
        <v>281</v>
      </c>
      <c r="C85" s="103" t="s">
        <v>212</v>
      </c>
      <c r="D85" s="100">
        <v>73</v>
      </c>
      <c r="E85" s="104" t="s">
        <v>166</v>
      </c>
      <c r="F85" s="105" t="s">
        <v>167</v>
      </c>
      <c r="G85" s="107" t="s">
        <v>282</v>
      </c>
      <c r="H85" s="106" t="s">
        <v>169</v>
      </c>
      <c r="I85" s="107" t="s">
        <v>283</v>
      </c>
      <c r="J85" s="140">
        <f>30*2-30</f>
        <v>30</v>
      </c>
      <c r="K85" s="170">
        <f>28*2-28</f>
        <v>28</v>
      </c>
      <c r="L85" s="170">
        <f>16*2</f>
        <v>32</v>
      </c>
      <c r="M85" s="170">
        <f>16*2+30</f>
        <v>62</v>
      </c>
      <c r="N85" s="170">
        <f>ROUND((J85+K85+L85+M85)/4,0)</f>
        <v>38</v>
      </c>
      <c r="O85" s="116">
        <f>16*2</f>
        <v>32</v>
      </c>
      <c r="P85" s="116">
        <f>8*2</f>
        <v>16</v>
      </c>
    </row>
    <row r="86" spans="1:106" ht="30.6">
      <c r="A86" s="102">
        <v>11</v>
      </c>
      <c r="B86" s="103" t="s">
        <v>284</v>
      </c>
      <c r="C86" s="103" t="s">
        <v>285</v>
      </c>
      <c r="D86" s="100">
        <v>74</v>
      </c>
      <c r="E86" s="104" t="s">
        <v>166</v>
      </c>
      <c r="F86" s="105" t="s">
        <v>174</v>
      </c>
      <c r="G86" s="107" t="s">
        <v>286</v>
      </c>
      <c r="H86" s="107" t="s">
        <v>175</v>
      </c>
      <c r="I86" s="107" t="s">
        <v>226</v>
      </c>
      <c r="J86" s="140">
        <v>17</v>
      </c>
      <c r="K86" s="116">
        <v>17</v>
      </c>
      <c r="L86" s="116">
        <v>10</v>
      </c>
      <c r="M86" s="116">
        <v>10</v>
      </c>
      <c r="N86" s="116">
        <f t="shared" ref="N86:N146" si="1">ROUND((J86+K86+L86+M86)/4,0)</f>
        <v>14</v>
      </c>
      <c r="O86" s="116">
        <v>0</v>
      </c>
      <c r="P86" s="116">
        <v>0</v>
      </c>
    </row>
    <row r="87" spans="1:106" ht="30.6">
      <c r="A87" s="102">
        <v>11</v>
      </c>
      <c r="B87" s="103" t="s">
        <v>287</v>
      </c>
      <c r="C87" s="103" t="s">
        <v>209</v>
      </c>
      <c r="D87" s="100">
        <v>75</v>
      </c>
      <c r="E87" s="104" t="s">
        <v>166</v>
      </c>
      <c r="F87" s="105" t="s">
        <v>174</v>
      </c>
      <c r="G87" s="107" t="s">
        <v>288</v>
      </c>
      <c r="H87" s="107" t="s">
        <v>175</v>
      </c>
      <c r="I87" s="107" t="s">
        <v>183</v>
      </c>
      <c r="J87" s="140">
        <v>95</v>
      </c>
      <c r="K87" s="116">
        <v>95</v>
      </c>
      <c r="L87" s="116">
        <v>58</v>
      </c>
      <c r="M87" s="116">
        <v>75</v>
      </c>
      <c r="N87" s="116">
        <f t="shared" si="1"/>
        <v>81</v>
      </c>
      <c r="O87" s="116">
        <v>71</v>
      </c>
      <c r="P87" s="116">
        <v>71</v>
      </c>
    </row>
    <row r="88" spans="1:106" ht="30.6">
      <c r="A88" s="102">
        <v>11</v>
      </c>
      <c r="B88" s="103" t="s">
        <v>289</v>
      </c>
      <c r="C88" s="103" t="s">
        <v>209</v>
      </c>
      <c r="D88" s="100">
        <v>76</v>
      </c>
      <c r="E88" s="104" t="s">
        <v>166</v>
      </c>
      <c r="F88" s="105" t="s">
        <v>174</v>
      </c>
      <c r="G88" s="107" t="s">
        <v>290</v>
      </c>
      <c r="H88" s="107" t="s">
        <v>175</v>
      </c>
      <c r="I88" s="107" t="s">
        <v>172</v>
      </c>
      <c r="J88" s="140">
        <f>93-3</f>
        <v>90</v>
      </c>
      <c r="K88" s="116">
        <f>92-4</f>
        <v>88</v>
      </c>
      <c r="L88" s="116">
        <v>83</v>
      </c>
      <c r="M88" s="116">
        <f>98+3+4</f>
        <v>105</v>
      </c>
      <c r="N88" s="116">
        <f t="shared" si="1"/>
        <v>92</v>
      </c>
      <c r="O88" s="116">
        <v>85</v>
      </c>
      <c r="P88" s="116">
        <v>60</v>
      </c>
    </row>
    <row r="89" spans="1:106" ht="30.6">
      <c r="A89" s="102">
        <v>11</v>
      </c>
      <c r="B89" s="103" t="s">
        <v>291</v>
      </c>
      <c r="C89" s="103" t="s">
        <v>253</v>
      </c>
      <c r="D89" s="100">
        <v>77</v>
      </c>
      <c r="E89" s="104" t="s">
        <v>166</v>
      </c>
      <c r="F89" s="105" t="s">
        <v>174</v>
      </c>
      <c r="G89" s="107" t="s">
        <v>292</v>
      </c>
      <c r="H89" s="107" t="s">
        <v>175</v>
      </c>
      <c r="I89" s="107" t="s">
        <v>244</v>
      </c>
      <c r="J89" s="140">
        <v>69</v>
      </c>
      <c r="K89" s="116">
        <v>66</v>
      </c>
      <c r="L89" s="116">
        <v>58</v>
      </c>
      <c r="M89" s="116">
        <v>75</v>
      </c>
      <c r="N89" s="116">
        <f t="shared" si="1"/>
        <v>67</v>
      </c>
      <c r="O89" s="116">
        <v>67</v>
      </c>
      <c r="P89" s="116">
        <v>67</v>
      </c>
    </row>
    <row r="90" spans="1:106" ht="30.6">
      <c r="A90" s="102">
        <v>11</v>
      </c>
      <c r="B90" s="103" t="s">
        <v>293</v>
      </c>
      <c r="C90" s="103" t="s">
        <v>220</v>
      </c>
      <c r="D90" s="100">
        <v>78</v>
      </c>
      <c r="E90" s="104" t="s">
        <v>166</v>
      </c>
      <c r="F90" s="105" t="s">
        <v>174</v>
      </c>
      <c r="G90" s="107" t="s">
        <v>294</v>
      </c>
      <c r="H90" s="107" t="s">
        <v>175</v>
      </c>
      <c r="I90" s="107" t="s">
        <v>222</v>
      </c>
      <c r="J90" s="140">
        <v>77</v>
      </c>
      <c r="K90" s="116">
        <v>76</v>
      </c>
      <c r="L90" s="116">
        <v>69</v>
      </c>
      <c r="M90" s="116">
        <v>85</v>
      </c>
      <c r="N90" s="116">
        <f t="shared" si="1"/>
        <v>77</v>
      </c>
      <c r="O90" s="116">
        <v>75</v>
      </c>
      <c r="P90" s="116">
        <v>75</v>
      </c>
    </row>
    <row r="91" spans="1:106" s="109" customFormat="1" ht="30.6">
      <c r="A91" s="108">
        <v>11</v>
      </c>
      <c r="B91" s="103" t="s">
        <v>295</v>
      </c>
      <c r="C91" s="103" t="s">
        <v>224</v>
      </c>
      <c r="D91" s="100">
        <v>79</v>
      </c>
      <c r="E91" s="104" t="s">
        <v>166</v>
      </c>
      <c r="F91" s="105" t="s">
        <v>174</v>
      </c>
      <c r="G91" s="107" t="s">
        <v>296</v>
      </c>
      <c r="H91" s="107" t="s">
        <v>175</v>
      </c>
      <c r="I91" s="107" t="s">
        <v>226</v>
      </c>
      <c r="J91" s="140">
        <f>141+2</f>
        <v>143</v>
      </c>
      <c r="K91" s="116">
        <v>140</v>
      </c>
      <c r="L91" s="116">
        <v>122</v>
      </c>
      <c r="M91" s="116">
        <f>156-2</f>
        <v>154</v>
      </c>
      <c r="N91" s="116">
        <f t="shared" si="1"/>
        <v>140</v>
      </c>
      <c r="O91" s="116">
        <v>144</v>
      </c>
      <c r="P91" s="116">
        <v>144</v>
      </c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</row>
    <row r="92" spans="1:106" s="109" customFormat="1" ht="30.6">
      <c r="A92" s="108"/>
      <c r="B92" s="103"/>
      <c r="C92" s="103"/>
      <c r="D92" s="100">
        <v>80</v>
      </c>
      <c r="E92" s="104" t="s">
        <v>166</v>
      </c>
      <c r="F92" s="105" t="s">
        <v>174</v>
      </c>
      <c r="G92" s="107" t="s">
        <v>297</v>
      </c>
      <c r="H92" s="107" t="s">
        <v>175</v>
      </c>
      <c r="I92" s="107" t="s">
        <v>229</v>
      </c>
      <c r="J92" s="140">
        <f>66-1</f>
        <v>65</v>
      </c>
      <c r="K92" s="116">
        <f>63+3</f>
        <v>66</v>
      </c>
      <c r="L92" s="116">
        <v>45</v>
      </c>
      <c r="M92" s="116">
        <f>62+1-3</f>
        <v>60</v>
      </c>
      <c r="N92" s="116">
        <f t="shared" si="1"/>
        <v>59</v>
      </c>
      <c r="O92" s="116">
        <v>52</v>
      </c>
      <c r="P92" s="116">
        <v>53</v>
      </c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</row>
    <row r="93" spans="1:106" s="109" customFormat="1" ht="30.6">
      <c r="A93" s="108"/>
      <c r="B93" s="103"/>
      <c r="C93" s="103"/>
      <c r="D93" s="100">
        <v>81</v>
      </c>
      <c r="E93" s="104" t="s">
        <v>166</v>
      </c>
      <c r="F93" s="105" t="s">
        <v>174</v>
      </c>
      <c r="G93" s="107" t="s">
        <v>296</v>
      </c>
      <c r="H93" s="106" t="s">
        <v>169</v>
      </c>
      <c r="I93" s="107" t="s">
        <v>229</v>
      </c>
      <c r="J93" s="140">
        <f>47+3</f>
        <v>50</v>
      </c>
      <c r="K93" s="116">
        <f>47+4</f>
        <v>51</v>
      </c>
      <c r="L93" s="116">
        <v>52</v>
      </c>
      <c r="M93" s="116">
        <f>65-3-4</f>
        <v>58</v>
      </c>
      <c r="N93" s="116">
        <f t="shared" si="1"/>
        <v>53</v>
      </c>
      <c r="O93" s="116">
        <v>60</v>
      </c>
      <c r="P93" s="116">
        <v>44</v>
      </c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</row>
    <row r="94" spans="1:106" s="109" customFormat="1" ht="30.6">
      <c r="A94" s="108"/>
      <c r="B94" s="103"/>
      <c r="C94" s="103"/>
      <c r="D94" s="100">
        <v>82</v>
      </c>
      <c r="E94" s="104" t="s">
        <v>166</v>
      </c>
      <c r="F94" s="105" t="s">
        <v>174</v>
      </c>
      <c r="G94" s="107" t="s">
        <v>296</v>
      </c>
      <c r="H94" s="107" t="s">
        <v>175</v>
      </c>
      <c r="I94" s="107" t="s">
        <v>199</v>
      </c>
      <c r="J94" s="140">
        <v>138</v>
      </c>
      <c r="K94" s="116">
        <v>132</v>
      </c>
      <c r="L94" s="116">
        <v>117</v>
      </c>
      <c r="M94" s="116">
        <v>128</v>
      </c>
      <c r="N94" s="116">
        <f t="shared" si="1"/>
        <v>129</v>
      </c>
      <c r="O94" s="116">
        <v>110</v>
      </c>
      <c r="P94" s="116">
        <v>110</v>
      </c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</row>
    <row r="95" spans="1:106" ht="30.6">
      <c r="A95" s="102">
        <v>11</v>
      </c>
      <c r="B95" s="103" t="s">
        <v>298</v>
      </c>
      <c r="C95" s="103" t="s">
        <v>299</v>
      </c>
      <c r="D95" s="100">
        <v>83</v>
      </c>
      <c r="E95" s="104" t="s">
        <v>166</v>
      </c>
      <c r="F95" s="105" t="s">
        <v>174</v>
      </c>
      <c r="G95" s="107" t="s">
        <v>300</v>
      </c>
      <c r="H95" s="107" t="s">
        <v>175</v>
      </c>
      <c r="I95" s="107" t="s">
        <v>229</v>
      </c>
      <c r="J95" s="140">
        <f>105-3</f>
        <v>102</v>
      </c>
      <c r="K95" s="116">
        <f>103-1</f>
        <v>102</v>
      </c>
      <c r="L95" s="116">
        <v>92</v>
      </c>
      <c r="M95" s="116">
        <f>110+3+1</f>
        <v>114</v>
      </c>
      <c r="N95" s="116">
        <f t="shared" si="1"/>
        <v>103</v>
      </c>
      <c r="O95" s="116">
        <v>100</v>
      </c>
      <c r="P95" s="116">
        <v>115</v>
      </c>
    </row>
    <row r="96" spans="1:106" ht="40.799999999999997">
      <c r="A96" s="102"/>
      <c r="B96" s="103"/>
      <c r="C96" s="103"/>
      <c r="D96" s="100">
        <v>84</v>
      </c>
      <c r="E96" s="104" t="s">
        <v>166</v>
      </c>
      <c r="F96" s="105" t="s">
        <v>174</v>
      </c>
      <c r="G96" s="107" t="s">
        <v>300</v>
      </c>
      <c r="H96" s="107" t="s">
        <v>175</v>
      </c>
      <c r="I96" s="107" t="s">
        <v>227</v>
      </c>
      <c r="J96" s="140">
        <v>87</v>
      </c>
      <c r="K96" s="116">
        <f>87-5</f>
        <v>82</v>
      </c>
      <c r="L96" s="116">
        <v>75</v>
      </c>
      <c r="M96" s="116">
        <f>92+5</f>
        <v>97</v>
      </c>
      <c r="N96" s="116">
        <f t="shared" si="1"/>
        <v>85</v>
      </c>
      <c r="O96" s="116">
        <v>87</v>
      </c>
      <c r="P96" s="116">
        <v>88</v>
      </c>
    </row>
    <row r="97" spans="1:16" ht="40.799999999999997">
      <c r="A97" s="102"/>
      <c r="B97" s="103"/>
      <c r="C97" s="103"/>
      <c r="D97" s="100">
        <v>85</v>
      </c>
      <c r="E97" s="104" t="s">
        <v>166</v>
      </c>
      <c r="F97" s="105" t="s">
        <v>174</v>
      </c>
      <c r="G97" s="107" t="s">
        <v>300</v>
      </c>
      <c r="H97" s="107" t="s">
        <v>175</v>
      </c>
      <c r="I97" s="107" t="s">
        <v>228</v>
      </c>
      <c r="J97" s="140">
        <v>98</v>
      </c>
      <c r="K97" s="116">
        <v>96</v>
      </c>
      <c r="L97" s="116">
        <v>99</v>
      </c>
      <c r="M97" s="116">
        <v>104</v>
      </c>
      <c r="N97" s="116">
        <f t="shared" si="1"/>
        <v>99</v>
      </c>
      <c r="O97" s="116">
        <v>99</v>
      </c>
      <c r="P97" s="116">
        <v>99</v>
      </c>
    </row>
    <row r="98" spans="1:16" ht="30.6">
      <c r="A98" s="102">
        <v>11</v>
      </c>
      <c r="B98" s="103" t="s">
        <v>301</v>
      </c>
      <c r="C98" s="103" t="s">
        <v>253</v>
      </c>
      <c r="D98" s="100">
        <v>86</v>
      </c>
      <c r="E98" s="104" t="s">
        <v>166</v>
      </c>
      <c r="F98" s="105" t="s">
        <v>174</v>
      </c>
      <c r="G98" s="107" t="s">
        <v>302</v>
      </c>
      <c r="H98" s="107" t="s">
        <v>175</v>
      </c>
      <c r="I98" s="107" t="s">
        <v>176</v>
      </c>
      <c r="J98" s="140">
        <v>104</v>
      </c>
      <c r="K98" s="116">
        <v>103</v>
      </c>
      <c r="L98" s="116">
        <v>89</v>
      </c>
      <c r="M98" s="116">
        <v>104</v>
      </c>
      <c r="N98" s="116">
        <f t="shared" si="1"/>
        <v>100</v>
      </c>
      <c r="O98" s="116">
        <v>95</v>
      </c>
      <c r="P98" s="116">
        <v>95</v>
      </c>
    </row>
    <row r="99" spans="1:16" ht="30.6">
      <c r="A99" s="102"/>
      <c r="B99" s="103"/>
      <c r="C99" s="103"/>
      <c r="D99" s="100">
        <v>87</v>
      </c>
      <c r="E99" s="104" t="s">
        <v>166</v>
      </c>
      <c r="F99" s="105" t="s">
        <v>174</v>
      </c>
      <c r="G99" s="107" t="s">
        <v>302</v>
      </c>
      <c r="H99" s="107" t="s">
        <v>169</v>
      </c>
      <c r="I99" s="107" t="s">
        <v>170</v>
      </c>
      <c r="J99" s="140">
        <v>0</v>
      </c>
      <c r="K99" s="116">
        <v>0</v>
      </c>
      <c r="L99" s="116">
        <v>5</v>
      </c>
      <c r="M99" s="116">
        <v>15</v>
      </c>
      <c r="N99" s="116">
        <f t="shared" si="1"/>
        <v>5</v>
      </c>
      <c r="O99" s="116">
        <v>14</v>
      </c>
      <c r="P99" s="116">
        <v>14</v>
      </c>
    </row>
    <row r="100" spans="1:16" ht="30.6">
      <c r="A100" s="102"/>
      <c r="B100" s="103"/>
      <c r="C100" s="103"/>
      <c r="D100" s="100">
        <v>88</v>
      </c>
      <c r="E100" s="104" t="s">
        <v>166</v>
      </c>
      <c r="F100" s="105" t="s">
        <v>174</v>
      </c>
      <c r="G100" s="107" t="s">
        <v>302</v>
      </c>
      <c r="H100" s="107" t="s">
        <v>175</v>
      </c>
      <c r="I100" s="107" t="s">
        <v>170</v>
      </c>
      <c r="J100" s="140">
        <f>36+1</f>
        <v>37</v>
      </c>
      <c r="K100" s="116">
        <v>36</v>
      </c>
      <c r="L100" s="116">
        <v>35</v>
      </c>
      <c r="M100" s="116">
        <f>35-1</f>
        <v>34</v>
      </c>
      <c r="N100" s="116">
        <f t="shared" si="1"/>
        <v>36</v>
      </c>
      <c r="O100" s="116">
        <v>35</v>
      </c>
      <c r="P100" s="116">
        <v>35</v>
      </c>
    </row>
    <row r="101" spans="1:16" ht="30.6">
      <c r="A101" s="102"/>
      <c r="B101" s="103"/>
      <c r="C101" s="103"/>
      <c r="D101" s="100">
        <v>89</v>
      </c>
      <c r="E101" s="104" t="s">
        <v>166</v>
      </c>
      <c r="F101" s="105" t="s">
        <v>174</v>
      </c>
      <c r="G101" s="107" t="s">
        <v>303</v>
      </c>
      <c r="H101" s="107" t="s">
        <v>175</v>
      </c>
      <c r="I101" s="107" t="s">
        <v>185</v>
      </c>
      <c r="J101" s="140">
        <f>43-1</f>
        <v>42</v>
      </c>
      <c r="K101" s="116">
        <v>41</v>
      </c>
      <c r="L101" s="116">
        <v>26</v>
      </c>
      <c r="M101" s="116">
        <f>25+1</f>
        <v>26</v>
      </c>
      <c r="N101" s="116">
        <f t="shared" si="1"/>
        <v>34</v>
      </c>
      <c r="O101" s="116">
        <v>34</v>
      </c>
      <c r="P101" s="116">
        <v>22</v>
      </c>
    </row>
    <row r="102" spans="1:16" ht="40.799999999999997">
      <c r="A102" s="102">
        <v>11</v>
      </c>
      <c r="B102" s="103" t="s">
        <v>304</v>
      </c>
      <c r="C102" s="103" t="s">
        <v>305</v>
      </c>
      <c r="D102" s="100">
        <v>90</v>
      </c>
      <c r="E102" s="104" t="s">
        <v>166</v>
      </c>
      <c r="F102" s="105" t="s">
        <v>167</v>
      </c>
      <c r="G102" s="107" t="s">
        <v>306</v>
      </c>
      <c r="H102" s="107" t="s">
        <v>169</v>
      </c>
      <c r="I102" s="107" t="s">
        <v>210</v>
      </c>
      <c r="J102" s="140">
        <v>5</v>
      </c>
      <c r="K102" s="116">
        <v>0</v>
      </c>
      <c r="L102" s="116">
        <v>0</v>
      </c>
      <c r="M102" s="116">
        <v>0</v>
      </c>
      <c r="N102" s="116">
        <f t="shared" si="1"/>
        <v>1</v>
      </c>
      <c r="O102" s="116">
        <v>0</v>
      </c>
      <c r="P102" s="116">
        <v>0</v>
      </c>
    </row>
    <row r="103" spans="1:16" ht="30.6">
      <c r="A103" s="102">
        <v>11</v>
      </c>
      <c r="B103" s="103" t="s">
        <v>307</v>
      </c>
      <c r="C103" s="103" t="s">
        <v>165</v>
      </c>
      <c r="D103" s="100">
        <v>91</v>
      </c>
      <c r="E103" s="104" t="s">
        <v>166</v>
      </c>
      <c r="F103" s="105" t="s">
        <v>174</v>
      </c>
      <c r="G103" s="107" t="s">
        <v>308</v>
      </c>
      <c r="H103" s="107" t="s">
        <v>175</v>
      </c>
      <c r="I103" s="107" t="s">
        <v>309</v>
      </c>
      <c r="J103" s="140">
        <v>102</v>
      </c>
      <c r="K103" s="116">
        <v>100</v>
      </c>
      <c r="L103" s="116">
        <v>84</v>
      </c>
      <c r="M103" s="116">
        <v>99</v>
      </c>
      <c r="N103" s="116">
        <f t="shared" si="1"/>
        <v>96</v>
      </c>
      <c r="O103" s="116">
        <v>91</v>
      </c>
      <c r="P103" s="116">
        <v>89</v>
      </c>
    </row>
    <row r="104" spans="1:16" ht="30.6">
      <c r="A104" s="102"/>
      <c r="B104" s="103"/>
      <c r="C104" s="103"/>
      <c r="D104" s="100">
        <v>92</v>
      </c>
      <c r="E104" s="104" t="s">
        <v>166</v>
      </c>
      <c r="F104" s="105" t="s">
        <v>174</v>
      </c>
      <c r="G104" s="107" t="s">
        <v>308</v>
      </c>
      <c r="H104" s="107" t="s">
        <v>175</v>
      </c>
      <c r="I104" s="107" t="s">
        <v>170</v>
      </c>
      <c r="J104" s="140">
        <v>58</v>
      </c>
      <c r="K104" s="116">
        <v>58</v>
      </c>
      <c r="L104" s="116">
        <v>43</v>
      </c>
      <c r="M104" s="116">
        <v>60</v>
      </c>
      <c r="N104" s="116">
        <f t="shared" si="1"/>
        <v>55</v>
      </c>
      <c r="O104" s="116">
        <v>54</v>
      </c>
      <c r="P104" s="116">
        <v>54</v>
      </c>
    </row>
    <row r="105" spans="1:16" ht="30.6">
      <c r="A105" s="102"/>
      <c r="B105" s="103"/>
      <c r="C105" s="103"/>
      <c r="D105" s="100">
        <v>93</v>
      </c>
      <c r="E105" s="104" t="s">
        <v>166</v>
      </c>
      <c r="F105" s="104" t="s">
        <v>167</v>
      </c>
      <c r="G105" s="107" t="s">
        <v>168</v>
      </c>
      <c r="H105" s="107" t="s">
        <v>169</v>
      </c>
      <c r="I105" s="107" t="s">
        <v>177</v>
      </c>
      <c r="J105" s="140">
        <v>160</v>
      </c>
      <c r="K105" s="116">
        <v>160</v>
      </c>
      <c r="L105" s="116">
        <v>122</v>
      </c>
      <c r="M105" s="116">
        <v>145</v>
      </c>
      <c r="N105" s="116">
        <f t="shared" si="1"/>
        <v>147</v>
      </c>
      <c r="O105" s="116">
        <v>135</v>
      </c>
      <c r="P105" s="116">
        <v>132</v>
      </c>
    </row>
    <row r="106" spans="1:16" ht="56.25" customHeight="1">
      <c r="A106" s="102"/>
      <c r="B106" s="103"/>
      <c r="C106" s="103"/>
      <c r="D106" s="100">
        <v>94</v>
      </c>
      <c r="E106" s="110" t="s">
        <v>166</v>
      </c>
      <c r="F106" s="110" t="s">
        <v>167</v>
      </c>
      <c r="G106" s="110" t="s">
        <v>310</v>
      </c>
      <c r="H106" s="111" t="s">
        <v>169</v>
      </c>
      <c r="I106" s="112" t="s">
        <v>172</v>
      </c>
      <c r="J106" s="113">
        <v>0</v>
      </c>
      <c r="K106" s="113">
        <v>0</v>
      </c>
      <c r="L106" s="113">
        <v>5</v>
      </c>
      <c r="M106" s="113">
        <v>15</v>
      </c>
      <c r="N106" s="116">
        <f t="shared" si="1"/>
        <v>5</v>
      </c>
      <c r="O106" s="113">
        <v>15</v>
      </c>
      <c r="P106" s="113">
        <v>15</v>
      </c>
    </row>
    <row r="107" spans="1:16" ht="30.6">
      <c r="A107" s="102">
        <v>11</v>
      </c>
      <c r="B107" s="103" t="s">
        <v>311</v>
      </c>
      <c r="C107" s="103" t="s">
        <v>312</v>
      </c>
      <c r="D107" s="100">
        <v>95</v>
      </c>
      <c r="E107" s="104" t="s">
        <v>166</v>
      </c>
      <c r="F107" s="105" t="s">
        <v>174</v>
      </c>
      <c r="G107" s="114" t="s">
        <v>313</v>
      </c>
      <c r="H107" s="107" t="s">
        <v>175</v>
      </c>
      <c r="I107" s="107" t="s">
        <v>172</v>
      </c>
      <c r="J107" s="140">
        <f>76+2</f>
        <v>78</v>
      </c>
      <c r="K107" s="116">
        <f>75+3</f>
        <v>78</v>
      </c>
      <c r="L107" s="116">
        <v>83</v>
      </c>
      <c r="M107" s="116">
        <f>99-2-3</f>
        <v>94</v>
      </c>
      <c r="N107" s="116">
        <f t="shared" si="1"/>
        <v>83</v>
      </c>
      <c r="O107" s="116">
        <v>86</v>
      </c>
      <c r="P107" s="116">
        <v>60</v>
      </c>
    </row>
    <row r="108" spans="1:16" ht="30.6">
      <c r="A108" s="102"/>
      <c r="B108" s="103"/>
      <c r="C108" s="103"/>
      <c r="D108" s="100">
        <v>96</v>
      </c>
      <c r="E108" s="104" t="s">
        <v>166</v>
      </c>
      <c r="F108" s="105" t="s">
        <v>174</v>
      </c>
      <c r="G108" s="107" t="s">
        <v>314</v>
      </c>
      <c r="H108" s="107" t="s">
        <v>175</v>
      </c>
      <c r="I108" s="107" t="s">
        <v>177</v>
      </c>
      <c r="J108" s="140">
        <v>16</v>
      </c>
      <c r="K108" s="116">
        <v>15</v>
      </c>
      <c r="L108" s="116">
        <v>0</v>
      </c>
      <c r="M108" s="116">
        <v>0</v>
      </c>
      <c r="N108" s="116">
        <f t="shared" si="1"/>
        <v>8</v>
      </c>
      <c r="O108" s="116">
        <v>0</v>
      </c>
      <c r="P108" s="116">
        <v>0</v>
      </c>
    </row>
    <row r="109" spans="1:16" ht="40.799999999999997">
      <c r="A109" s="102">
        <v>11</v>
      </c>
      <c r="B109" s="103" t="s">
        <v>315</v>
      </c>
      <c r="C109" s="103" t="s">
        <v>312</v>
      </c>
      <c r="D109" s="100">
        <v>97</v>
      </c>
      <c r="E109" s="104" t="s">
        <v>166</v>
      </c>
      <c r="F109" s="104" t="s">
        <v>167</v>
      </c>
      <c r="G109" s="107" t="s">
        <v>198</v>
      </c>
      <c r="H109" s="107" t="s">
        <v>169</v>
      </c>
      <c r="I109" s="107" t="s">
        <v>210</v>
      </c>
      <c r="J109" s="140">
        <v>12</v>
      </c>
      <c r="K109" s="116">
        <v>12</v>
      </c>
      <c r="L109" s="116">
        <v>0</v>
      </c>
      <c r="M109" s="116">
        <v>0</v>
      </c>
      <c r="N109" s="116">
        <f t="shared" si="1"/>
        <v>6</v>
      </c>
      <c r="O109" s="116">
        <v>0</v>
      </c>
      <c r="P109" s="116">
        <v>0</v>
      </c>
    </row>
    <row r="110" spans="1:16" ht="30.6">
      <c r="A110" s="102">
        <v>11</v>
      </c>
      <c r="B110" s="103" t="s">
        <v>316</v>
      </c>
      <c r="C110" s="103" t="s">
        <v>317</v>
      </c>
      <c r="D110" s="100">
        <v>98</v>
      </c>
      <c r="E110" s="104" t="s">
        <v>166</v>
      </c>
      <c r="F110" s="104" t="s">
        <v>167</v>
      </c>
      <c r="G110" s="107" t="s">
        <v>195</v>
      </c>
      <c r="H110" s="107" t="s">
        <v>169</v>
      </c>
      <c r="I110" s="107" t="s">
        <v>185</v>
      </c>
      <c r="J110" s="140">
        <f>50+1</f>
        <v>51</v>
      </c>
      <c r="K110" s="116">
        <v>48</v>
      </c>
      <c r="L110" s="116">
        <v>43</v>
      </c>
      <c r="M110" s="116">
        <f>52-1</f>
        <v>51</v>
      </c>
      <c r="N110" s="116">
        <f t="shared" si="1"/>
        <v>48</v>
      </c>
      <c r="O110" s="116">
        <v>40</v>
      </c>
      <c r="P110" s="116">
        <v>55</v>
      </c>
    </row>
    <row r="111" spans="1:16" ht="40.799999999999997">
      <c r="A111" s="102">
        <v>11</v>
      </c>
      <c r="B111" s="103" t="s">
        <v>318</v>
      </c>
      <c r="C111" s="103" t="s">
        <v>317</v>
      </c>
      <c r="D111" s="100">
        <v>99</v>
      </c>
      <c r="E111" s="104" t="s">
        <v>166</v>
      </c>
      <c r="F111" s="104" t="s">
        <v>167</v>
      </c>
      <c r="G111" s="107" t="s">
        <v>184</v>
      </c>
      <c r="H111" s="107" t="s">
        <v>169</v>
      </c>
      <c r="I111" s="107" t="s">
        <v>188</v>
      </c>
      <c r="J111" s="140">
        <v>53</v>
      </c>
      <c r="K111" s="116">
        <v>55</v>
      </c>
      <c r="L111" s="116">
        <v>35</v>
      </c>
      <c r="M111" s="116">
        <v>50</v>
      </c>
      <c r="N111" s="116">
        <f t="shared" si="1"/>
        <v>48</v>
      </c>
      <c r="O111" s="116">
        <v>48</v>
      </c>
      <c r="P111" s="116">
        <v>48</v>
      </c>
    </row>
    <row r="112" spans="1:16" ht="40.799999999999997">
      <c r="A112" s="102"/>
      <c r="B112" s="103"/>
      <c r="C112" s="103"/>
      <c r="D112" s="100">
        <v>100</v>
      </c>
      <c r="E112" s="104" t="s">
        <v>166</v>
      </c>
      <c r="F112" s="104" t="s">
        <v>167</v>
      </c>
      <c r="G112" s="107" t="s">
        <v>184</v>
      </c>
      <c r="H112" s="107" t="s">
        <v>169</v>
      </c>
      <c r="I112" s="107" t="s">
        <v>185</v>
      </c>
      <c r="J112" s="140">
        <v>34</v>
      </c>
      <c r="K112" s="116">
        <v>34</v>
      </c>
      <c r="L112" s="116">
        <v>37</v>
      </c>
      <c r="M112" s="116">
        <v>47</v>
      </c>
      <c r="N112" s="116">
        <f t="shared" si="1"/>
        <v>38</v>
      </c>
      <c r="O112" s="116">
        <v>38</v>
      </c>
      <c r="P112" s="116">
        <v>25</v>
      </c>
    </row>
    <row r="113" spans="1:16" ht="40.799999999999997">
      <c r="A113" s="102"/>
      <c r="B113" s="103"/>
      <c r="C113" s="103"/>
      <c r="D113" s="100">
        <v>101</v>
      </c>
      <c r="E113" s="104" t="s">
        <v>166</v>
      </c>
      <c r="F113" s="104" t="s">
        <v>167</v>
      </c>
      <c r="G113" s="107" t="s">
        <v>184</v>
      </c>
      <c r="H113" s="107" t="s">
        <v>169</v>
      </c>
      <c r="I113" s="107" t="s">
        <v>179</v>
      </c>
      <c r="J113" s="140">
        <v>40</v>
      </c>
      <c r="K113" s="116">
        <v>37</v>
      </c>
      <c r="L113" s="116">
        <v>27</v>
      </c>
      <c r="M113" s="116">
        <v>41</v>
      </c>
      <c r="N113" s="116">
        <f t="shared" si="1"/>
        <v>36</v>
      </c>
      <c r="O113" s="116">
        <v>36</v>
      </c>
      <c r="P113" s="116">
        <v>36</v>
      </c>
    </row>
    <row r="114" spans="1:16" ht="40.799999999999997">
      <c r="A114" s="102"/>
      <c r="B114" s="103"/>
      <c r="C114" s="103"/>
      <c r="D114" s="100">
        <v>102</v>
      </c>
      <c r="E114" s="104" t="s">
        <v>166</v>
      </c>
      <c r="F114" s="104" t="s">
        <v>167</v>
      </c>
      <c r="G114" s="107" t="s">
        <v>184</v>
      </c>
      <c r="H114" s="107" t="s">
        <v>169</v>
      </c>
      <c r="I114" s="107" t="s">
        <v>187</v>
      </c>
      <c r="J114" s="140">
        <v>39</v>
      </c>
      <c r="K114" s="116">
        <v>38</v>
      </c>
      <c r="L114" s="116">
        <v>36</v>
      </c>
      <c r="M114" s="116">
        <v>34</v>
      </c>
      <c r="N114" s="116">
        <f t="shared" si="1"/>
        <v>37</v>
      </c>
      <c r="O114" s="116">
        <v>27</v>
      </c>
      <c r="P114" s="116">
        <v>30</v>
      </c>
    </row>
    <row r="115" spans="1:16" ht="40.799999999999997">
      <c r="A115" s="102"/>
      <c r="B115" s="103"/>
      <c r="C115" s="103"/>
      <c r="D115" s="100">
        <v>103</v>
      </c>
      <c r="E115" s="104" t="s">
        <v>166</v>
      </c>
      <c r="F115" s="104" t="s">
        <v>319</v>
      </c>
      <c r="G115" s="107" t="s">
        <v>184</v>
      </c>
      <c r="H115" s="107" t="s">
        <v>169</v>
      </c>
      <c r="I115" s="107" t="s">
        <v>261</v>
      </c>
      <c r="J115" s="140">
        <v>15</v>
      </c>
      <c r="K115" s="116">
        <v>15</v>
      </c>
      <c r="L115" s="116">
        <v>15</v>
      </c>
      <c r="M115" s="116">
        <v>15</v>
      </c>
      <c r="N115" s="116">
        <f t="shared" si="1"/>
        <v>15</v>
      </c>
      <c r="O115" s="116">
        <v>11</v>
      </c>
      <c r="P115" s="116">
        <v>15</v>
      </c>
    </row>
    <row r="116" spans="1:16" ht="40.799999999999997">
      <c r="A116" s="102"/>
      <c r="B116" s="103"/>
      <c r="C116" s="103"/>
      <c r="D116" s="100">
        <v>104</v>
      </c>
      <c r="E116" s="104" t="s">
        <v>166</v>
      </c>
      <c r="F116" s="104" t="s">
        <v>320</v>
      </c>
      <c r="G116" s="107" t="s">
        <v>184</v>
      </c>
      <c r="H116" s="107" t="s">
        <v>175</v>
      </c>
      <c r="I116" s="107" t="s">
        <v>261</v>
      </c>
      <c r="J116" s="140">
        <v>0</v>
      </c>
      <c r="K116" s="116">
        <v>0</v>
      </c>
      <c r="L116" s="116">
        <v>0</v>
      </c>
      <c r="M116" s="116">
        <v>0</v>
      </c>
      <c r="N116" s="116">
        <f t="shared" si="1"/>
        <v>0</v>
      </c>
      <c r="O116" s="116">
        <v>0</v>
      </c>
      <c r="P116" s="116">
        <v>8</v>
      </c>
    </row>
    <row r="117" spans="1:16" ht="40.799999999999997">
      <c r="A117" s="102"/>
      <c r="B117" s="103"/>
      <c r="C117" s="103"/>
      <c r="D117" s="100">
        <v>105</v>
      </c>
      <c r="E117" s="104" t="s">
        <v>166</v>
      </c>
      <c r="F117" s="104" t="s">
        <v>167</v>
      </c>
      <c r="G117" s="107" t="s">
        <v>184</v>
      </c>
      <c r="H117" s="107" t="s">
        <v>169</v>
      </c>
      <c r="I117" s="107" t="s">
        <v>321</v>
      </c>
      <c r="J117" s="140">
        <v>31</v>
      </c>
      <c r="K117" s="116">
        <v>27</v>
      </c>
      <c r="L117" s="116">
        <v>24</v>
      </c>
      <c r="M117" s="116">
        <v>30</v>
      </c>
      <c r="N117" s="116">
        <f t="shared" si="1"/>
        <v>28</v>
      </c>
      <c r="O117" s="116">
        <v>32</v>
      </c>
      <c r="P117" s="116">
        <v>32</v>
      </c>
    </row>
    <row r="118" spans="1:16" ht="40.799999999999997">
      <c r="A118" s="102"/>
      <c r="B118" s="103"/>
      <c r="C118" s="103"/>
      <c r="D118" s="100">
        <v>106</v>
      </c>
      <c r="E118" s="104" t="s">
        <v>166</v>
      </c>
      <c r="F118" s="104" t="s">
        <v>167</v>
      </c>
      <c r="G118" s="107" t="s">
        <v>184</v>
      </c>
      <c r="H118" s="107" t="s">
        <v>169</v>
      </c>
      <c r="I118" s="107" t="s">
        <v>186</v>
      </c>
      <c r="J118" s="140">
        <v>15</v>
      </c>
      <c r="K118" s="116">
        <v>15</v>
      </c>
      <c r="L118" s="116">
        <v>15</v>
      </c>
      <c r="M118" s="116">
        <v>15</v>
      </c>
      <c r="N118" s="116">
        <f t="shared" si="1"/>
        <v>15</v>
      </c>
      <c r="O118" s="116">
        <v>15</v>
      </c>
      <c r="P118" s="116">
        <v>12</v>
      </c>
    </row>
    <row r="119" spans="1:16" ht="30.6">
      <c r="A119" s="102">
        <v>11</v>
      </c>
      <c r="B119" s="103" t="s">
        <v>322</v>
      </c>
      <c r="C119" s="103" t="s">
        <v>323</v>
      </c>
      <c r="D119" s="100">
        <v>107</v>
      </c>
      <c r="E119" s="104" t="s">
        <v>166</v>
      </c>
      <c r="F119" s="104" t="s">
        <v>167</v>
      </c>
      <c r="G119" s="107" t="s">
        <v>257</v>
      </c>
      <c r="H119" s="107" t="s">
        <v>169</v>
      </c>
      <c r="I119" s="107" t="s">
        <v>179</v>
      </c>
      <c r="J119" s="140">
        <v>138</v>
      </c>
      <c r="K119" s="116">
        <v>136</v>
      </c>
      <c r="L119" s="116">
        <v>94</v>
      </c>
      <c r="M119" s="116">
        <v>121</v>
      </c>
      <c r="N119" s="116">
        <f t="shared" si="1"/>
        <v>122</v>
      </c>
      <c r="O119" s="116">
        <v>122</v>
      </c>
      <c r="P119" s="116">
        <v>122</v>
      </c>
    </row>
    <row r="120" spans="1:16" ht="40.799999999999997">
      <c r="A120" s="102">
        <v>11</v>
      </c>
      <c r="B120" s="103" t="s">
        <v>324</v>
      </c>
      <c r="C120" s="103" t="s">
        <v>325</v>
      </c>
      <c r="D120" s="100">
        <v>108</v>
      </c>
      <c r="E120" s="104" t="s">
        <v>166</v>
      </c>
      <c r="F120" s="104" t="s">
        <v>167</v>
      </c>
      <c r="G120" s="107" t="s">
        <v>326</v>
      </c>
      <c r="H120" s="107" t="s">
        <v>169</v>
      </c>
      <c r="I120" s="115" t="s">
        <v>266</v>
      </c>
      <c r="J120" s="140">
        <v>4</v>
      </c>
      <c r="K120" s="116">
        <v>4</v>
      </c>
      <c r="L120" s="116">
        <v>4</v>
      </c>
      <c r="M120" s="116">
        <v>4</v>
      </c>
      <c r="N120" s="116">
        <f t="shared" si="1"/>
        <v>4</v>
      </c>
      <c r="O120" s="116">
        <v>4</v>
      </c>
      <c r="P120" s="116">
        <v>0</v>
      </c>
    </row>
    <row r="121" spans="1:16" ht="30.6">
      <c r="A121" s="102"/>
      <c r="B121" s="103"/>
      <c r="C121" s="103"/>
      <c r="D121" s="100">
        <v>109</v>
      </c>
      <c r="E121" s="104" t="s">
        <v>166</v>
      </c>
      <c r="F121" s="104" t="s">
        <v>167</v>
      </c>
      <c r="G121" s="107" t="s">
        <v>327</v>
      </c>
      <c r="H121" s="107" t="s">
        <v>175</v>
      </c>
      <c r="I121" s="107" t="s">
        <v>222</v>
      </c>
      <c r="J121" s="140">
        <v>48</v>
      </c>
      <c r="K121" s="116">
        <v>46</v>
      </c>
      <c r="L121" s="116">
        <f>48-11</f>
        <v>37</v>
      </c>
      <c r="M121" s="116">
        <v>49</v>
      </c>
      <c r="N121" s="116">
        <f t="shared" si="1"/>
        <v>45</v>
      </c>
      <c r="O121" s="116">
        <v>45</v>
      </c>
      <c r="P121" s="116">
        <v>45</v>
      </c>
    </row>
    <row r="122" spans="1:16" ht="30.6">
      <c r="A122" s="102">
        <v>11</v>
      </c>
      <c r="B122" s="103" t="s">
        <v>328</v>
      </c>
      <c r="C122" s="103" t="s">
        <v>329</v>
      </c>
      <c r="D122" s="100">
        <v>110</v>
      </c>
      <c r="E122" s="104" t="s">
        <v>166</v>
      </c>
      <c r="F122" s="104" t="s">
        <v>174</v>
      </c>
      <c r="G122" s="107" t="s">
        <v>247</v>
      </c>
      <c r="H122" s="107" t="s">
        <v>175</v>
      </c>
      <c r="I122" s="107" t="s">
        <v>222</v>
      </c>
      <c r="J122" s="140">
        <v>86</v>
      </c>
      <c r="K122" s="116">
        <v>84</v>
      </c>
      <c r="L122" s="116">
        <v>71</v>
      </c>
      <c r="M122" s="116">
        <v>86</v>
      </c>
      <c r="N122" s="116">
        <f t="shared" si="1"/>
        <v>82</v>
      </c>
      <c r="O122" s="116">
        <v>80</v>
      </c>
      <c r="P122" s="116">
        <v>80</v>
      </c>
    </row>
    <row r="123" spans="1:16" ht="51">
      <c r="A123" s="102">
        <v>11</v>
      </c>
      <c r="B123" s="103" t="s">
        <v>330</v>
      </c>
      <c r="C123" s="103" t="s">
        <v>331</v>
      </c>
      <c r="D123" s="100">
        <v>111</v>
      </c>
      <c r="E123" s="104" t="s">
        <v>166</v>
      </c>
      <c r="F123" s="104" t="s">
        <v>167</v>
      </c>
      <c r="G123" s="107" t="s">
        <v>332</v>
      </c>
      <c r="H123" s="107" t="s">
        <v>169</v>
      </c>
      <c r="I123" s="107" t="s">
        <v>207</v>
      </c>
      <c r="J123" s="140">
        <v>65</v>
      </c>
      <c r="K123" s="116">
        <v>64</v>
      </c>
      <c r="L123" s="116">
        <v>34</v>
      </c>
      <c r="M123" s="116">
        <v>42</v>
      </c>
      <c r="N123" s="116">
        <f t="shared" si="1"/>
        <v>51</v>
      </c>
      <c r="O123" s="116">
        <v>33</v>
      </c>
      <c r="P123" s="116">
        <v>27</v>
      </c>
    </row>
    <row r="124" spans="1:16" ht="40.799999999999997">
      <c r="A124" s="102"/>
      <c r="B124" s="103"/>
      <c r="C124" s="103"/>
      <c r="D124" s="100">
        <v>112</v>
      </c>
      <c r="E124" s="104" t="s">
        <v>166</v>
      </c>
      <c r="F124" s="104" t="s">
        <v>167</v>
      </c>
      <c r="G124" s="107" t="s">
        <v>332</v>
      </c>
      <c r="H124" s="107" t="s">
        <v>169</v>
      </c>
      <c r="I124" s="107" t="s">
        <v>186</v>
      </c>
      <c r="J124" s="140">
        <v>26</v>
      </c>
      <c r="K124" s="116">
        <f>26-2</f>
        <v>24</v>
      </c>
      <c r="L124" s="116">
        <v>26</v>
      </c>
      <c r="M124" s="116">
        <f>26+2</f>
        <v>28</v>
      </c>
      <c r="N124" s="116">
        <f t="shared" si="1"/>
        <v>26</v>
      </c>
      <c r="O124" s="116">
        <v>26</v>
      </c>
      <c r="P124" s="116">
        <v>25</v>
      </c>
    </row>
    <row r="125" spans="1:16" ht="30.6">
      <c r="A125" s="102"/>
      <c r="B125" s="103"/>
      <c r="C125" s="103"/>
      <c r="D125" s="100">
        <v>113</v>
      </c>
      <c r="E125" s="104" t="s">
        <v>166</v>
      </c>
      <c r="F125" s="104" t="s">
        <v>167</v>
      </c>
      <c r="G125" s="107" t="s">
        <v>332</v>
      </c>
      <c r="H125" s="107" t="s">
        <v>169</v>
      </c>
      <c r="I125" s="107" t="s">
        <v>214</v>
      </c>
      <c r="J125" s="140">
        <v>25</v>
      </c>
      <c r="K125" s="116">
        <f>25-1</f>
        <v>24</v>
      </c>
      <c r="L125" s="116">
        <v>27</v>
      </c>
      <c r="M125" s="116">
        <f>30+1</f>
        <v>31</v>
      </c>
      <c r="N125" s="116">
        <f t="shared" si="1"/>
        <v>27</v>
      </c>
      <c r="O125" s="116">
        <v>30</v>
      </c>
      <c r="P125" s="116">
        <v>30</v>
      </c>
    </row>
    <row r="126" spans="1:16" ht="30.6">
      <c r="A126" s="102"/>
      <c r="B126" s="103"/>
      <c r="C126" s="103"/>
      <c r="D126" s="100">
        <v>114</v>
      </c>
      <c r="E126" s="104" t="s">
        <v>166</v>
      </c>
      <c r="F126" s="104" t="s">
        <v>167</v>
      </c>
      <c r="G126" s="107" t="s">
        <v>332</v>
      </c>
      <c r="H126" s="107" t="s">
        <v>169</v>
      </c>
      <c r="I126" s="107" t="s">
        <v>202</v>
      </c>
      <c r="J126" s="140">
        <v>8</v>
      </c>
      <c r="K126" s="116">
        <f>8-1</f>
        <v>7</v>
      </c>
      <c r="L126" s="116">
        <v>0</v>
      </c>
      <c r="M126" s="116">
        <f>0+1</f>
        <v>1</v>
      </c>
      <c r="N126" s="116">
        <f t="shared" si="1"/>
        <v>4</v>
      </c>
      <c r="O126" s="116">
        <v>0</v>
      </c>
      <c r="P126" s="116">
        <v>0</v>
      </c>
    </row>
    <row r="127" spans="1:16" ht="30.6">
      <c r="A127" s="102"/>
      <c r="B127" s="103"/>
      <c r="C127" s="103"/>
      <c r="D127" s="100">
        <v>115</v>
      </c>
      <c r="E127" s="104" t="s">
        <v>166</v>
      </c>
      <c r="F127" s="104" t="s">
        <v>167</v>
      </c>
      <c r="G127" s="107" t="s">
        <v>332</v>
      </c>
      <c r="H127" s="107" t="s">
        <v>169</v>
      </c>
      <c r="I127" s="107" t="s">
        <v>321</v>
      </c>
      <c r="J127" s="140">
        <v>18</v>
      </c>
      <c r="K127" s="116">
        <v>14</v>
      </c>
      <c r="L127" s="116">
        <v>0</v>
      </c>
      <c r="M127" s="116">
        <v>0</v>
      </c>
      <c r="N127" s="116">
        <f t="shared" si="1"/>
        <v>8</v>
      </c>
      <c r="O127" s="116">
        <v>0</v>
      </c>
      <c r="P127" s="116">
        <v>0</v>
      </c>
    </row>
    <row r="128" spans="1:16" ht="30.6">
      <c r="A128" s="102"/>
      <c r="B128" s="103"/>
      <c r="C128" s="103"/>
      <c r="D128" s="100">
        <v>116</v>
      </c>
      <c r="E128" s="104" t="s">
        <v>166</v>
      </c>
      <c r="F128" s="104" t="s">
        <v>167</v>
      </c>
      <c r="G128" s="107" t="s">
        <v>332</v>
      </c>
      <c r="H128" s="107" t="s">
        <v>169</v>
      </c>
      <c r="I128" s="107" t="s">
        <v>333</v>
      </c>
      <c r="J128" s="140">
        <f>8-1</f>
        <v>7</v>
      </c>
      <c r="K128" s="116">
        <v>8</v>
      </c>
      <c r="L128" s="116">
        <v>0</v>
      </c>
      <c r="M128" s="116">
        <f>0+1</f>
        <v>1</v>
      </c>
      <c r="N128" s="116">
        <f t="shared" si="1"/>
        <v>4</v>
      </c>
      <c r="O128" s="116">
        <v>0</v>
      </c>
      <c r="P128" s="116">
        <v>0</v>
      </c>
    </row>
    <row r="129" spans="1:16" ht="30.6">
      <c r="A129" s="102"/>
      <c r="B129" s="103"/>
      <c r="C129" s="103"/>
      <c r="D129" s="100">
        <v>117</v>
      </c>
      <c r="E129" s="104" t="s">
        <v>166</v>
      </c>
      <c r="F129" s="104" t="s">
        <v>174</v>
      </c>
      <c r="G129" s="107" t="s">
        <v>332</v>
      </c>
      <c r="H129" s="107" t="s">
        <v>175</v>
      </c>
      <c r="I129" s="107" t="s">
        <v>177</v>
      </c>
      <c r="J129" s="140">
        <v>88</v>
      </c>
      <c r="K129" s="116">
        <v>87</v>
      </c>
      <c r="L129" s="116">
        <v>79</v>
      </c>
      <c r="M129" s="116">
        <v>92</v>
      </c>
      <c r="N129" s="116">
        <f t="shared" si="1"/>
        <v>87</v>
      </c>
      <c r="O129" s="116">
        <v>89</v>
      </c>
      <c r="P129" s="116">
        <v>89</v>
      </c>
    </row>
    <row r="130" spans="1:16" ht="30.6">
      <c r="A130" s="102"/>
      <c r="B130" s="103"/>
      <c r="C130" s="103"/>
      <c r="D130" s="100">
        <v>118</v>
      </c>
      <c r="E130" s="104" t="s">
        <v>166</v>
      </c>
      <c r="F130" s="104" t="s">
        <v>167</v>
      </c>
      <c r="G130" s="107" t="s">
        <v>332</v>
      </c>
      <c r="H130" s="107" t="s">
        <v>169</v>
      </c>
      <c r="I130" s="107" t="s">
        <v>177</v>
      </c>
      <c r="J130" s="140">
        <v>50</v>
      </c>
      <c r="K130" s="116">
        <v>47</v>
      </c>
      <c r="L130" s="116">
        <v>42</v>
      </c>
      <c r="M130" s="116">
        <v>49</v>
      </c>
      <c r="N130" s="116">
        <f t="shared" si="1"/>
        <v>47</v>
      </c>
      <c r="O130" s="116">
        <v>42</v>
      </c>
      <c r="P130" s="116">
        <v>30</v>
      </c>
    </row>
    <row r="131" spans="1:16" ht="30.6">
      <c r="A131" s="102">
        <v>11</v>
      </c>
      <c r="B131" s="103" t="s">
        <v>334</v>
      </c>
      <c r="C131" s="103" t="s">
        <v>335</v>
      </c>
      <c r="D131" s="100">
        <v>119</v>
      </c>
      <c r="E131" s="104" t="s">
        <v>166</v>
      </c>
      <c r="F131" s="104" t="s">
        <v>167</v>
      </c>
      <c r="G131" s="107" t="s">
        <v>296</v>
      </c>
      <c r="H131" s="107" t="s">
        <v>175</v>
      </c>
      <c r="I131" s="107" t="s">
        <v>226</v>
      </c>
      <c r="J131" s="140">
        <f>77-3</f>
        <v>74</v>
      </c>
      <c r="K131" s="116">
        <f>76-3</f>
        <v>73</v>
      </c>
      <c r="L131" s="116">
        <v>57</v>
      </c>
      <c r="M131" s="116">
        <f>66+3+3</f>
        <v>72</v>
      </c>
      <c r="N131" s="116">
        <f t="shared" si="1"/>
        <v>69</v>
      </c>
      <c r="O131" s="116">
        <v>73</v>
      </c>
      <c r="P131" s="116">
        <v>73</v>
      </c>
    </row>
    <row r="132" spans="1:16" ht="40.799999999999997">
      <c r="A132" s="102"/>
      <c r="B132" s="103"/>
      <c r="C132" s="103"/>
      <c r="D132" s="100">
        <v>120</v>
      </c>
      <c r="E132" s="104" t="s">
        <v>166</v>
      </c>
      <c r="F132" s="105" t="s">
        <v>167</v>
      </c>
      <c r="G132" s="107" t="s">
        <v>296</v>
      </c>
      <c r="H132" s="107" t="s">
        <v>169</v>
      </c>
      <c r="I132" s="107" t="s">
        <v>227</v>
      </c>
      <c r="J132" s="140">
        <v>64</v>
      </c>
      <c r="K132" s="116">
        <f>64-4</f>
        <v>60</v>
      </c>
      <c r="L132" s="116">
        <v>65</v>
      </c>
      <c r="M132" s="116">
        <f>67+4</f>
        <v>71</v>
      </c>
      <c r="N132" s="116">
        <f t="shared" si="1"/>
        <v>65</v>
      </c>
      <c r="O132" s="116">
        <v>65</v>
      </c>
      <c r="P132" s="116">
        <v>65</v>
      </c>
    </row>
    <row r="133" spans="1:16" ht="40.799999999999997">
      <c r="A133" s="102"/>
      <c r="B133" s="103"/>
      <c r="C133" s="103"/>
      <c r="D133" s="100">
        <v>121</v>
      </c>
      <c r="E133" s="104" t="s">
        <v>166</v>
      </c>
      <c r="F133" s="104" t="s">
        <v>174</v>
      </c>
      <c r="G133" s="107" t="s">
        <v>296</v>
      </c>
      <c r="H133" s="107" t="s">
        <v>175</v>
      </c>
      <c r="I133" s="107" t="s">
        <v>228</v>
      </c>
      <c r="J133" s="140">
        <v>0</v>
      </c>
      <c r="K133" s="116">
        <v>0</v>
      </c>
      <c r="L133" s="116">
        <v>8</v>
      </c>
      <c r="M133" s="116">
        <v>22</v>
      </c>
      <c r="N133" s="116">
        <f t="shared" si="1"/>
        <v>8</v>
      </c>
      <c r="O133" s="116">
        <v>8</v>
      </c>
      <c r="P133" s="116">
        <v>8</v>
      </c>
    </row>
    <row r="134" spans="1:16" ht="40.799999999999997">
      <c r="A134" s="102"/>
      <c r="B134" s="103"/>
      <c r="C134" s="103"/>
      <c r="D134" s="100">
        <v>122</v>
      </c>
      <c r="E134" s="104" t="s">
        <v>166</v>
      </c>
      <c r="F134" s="104" t="s">
        <v>167</v>
      </c>
      <c r="G134" s="107" t="s">
        <v>296</v>
      </c>
      <c r="H134" s="107" t="s">
        <v>169</v>
      </c>
      <c r="I134" s="107" t="s">
        <v>228</v>
      </c>
      <c r="J134" s="140">
        <v>18</v>
      </c>
      <c r="K134" s="116">
        <v>18</v>
      </c>
      <c r="L134" s="116">
        <v>18</v>
      </c>
      <c r="M134" s="116">
        <f>18-1+1</f>
        <v>18</v>
      </c>
      <c r="N134" s="116">
        <f t="shared" si="1"/>
        <v>18</v>
      </c>
      <c r="O134" s="116">
        <v>18</v>
      </c>
      <c r="P134" s="116">
        <v>18</v>
      </c>
    </row>
    <row r="135" spans="1:16" ht="30.6">
      <c r="A135" s="102"/>
      <c r="B135" s="103"/>
      <c r="C135" s="103"/>
      <c r="D135" s="100">
        <v>123</v>
      </c>
      <c r="E135" s="104" t="s">
        <v>166</v>
      </c>
      <c r="F135" s="104" t="s">
        <v>167</v>
      </c>
      <c r="G135" s="107" t="s">
        <v>296</v>
      </c>
      <c r="H135" s="106" t="s">
        <v>169</v>
      </c>
      <c r="I135" s="107" t="s">
        <v>229</v>
      </c>
      <c r="J135" s="140">
        <f>187+2</f>
        <v>189</v>
      </c>
      <c r="K135" s="116">
        <f>187-1</f>
        <v>186</v>
      </c>
      <c r="L135" s="116">
        <v>165</v>
      </c>
      <c r="M135" s="116">
        <f>192-2+1</f>
        <v>191</v>
      </c>
      <c r="N135" s="116">
        <f t="shared" si="1"/>
        <v>183</v>
      </c>
      <c r="O135" s="116">
        <v>191</v>
      </c>
      <c r="P135" s="116">
        <v>190</v>
      </c>
    </row>
    <row r="136" spans="1:16" ht="30.6">
      <c r="A136" s="102"/>
      <c r="B136" s="103"/>
      <c r="C136" s="103"/>
      <c r="D136" s="100">
        <v>124</v>
      </c>
      <c r="E136" s="104" t="s">
        <v>166</v>
      </c>
      <c r="F136" s="104" t="s">
        <v>167</v>
      </c>
      <c r="G136" s="107" t="s">
        <v>296</v>
      </c>
      <c r="H136" s="106" t="s">
        <v>169</v>
      </c>
      <c r="I136" s="107" t="s">
        <v>199</v>
      </c>
      <c r="J136" s="140">
        <f>126-6</f>
        <v>120</v>
      </c>
      <c r="K136" s="116">
        <f>122-4</f>
        <v>118</v>
      </c>
      <c r="L136" s="116">
        <v>127</v>
      </c>
      <c r="M136" s="116">
        <f>111+6+4</f>
        <v>121</v>
      </c>
      <c r="N136" s="116">
        <f t="shared" si="1"/>
        <v>122</v>
      </c>
      <c r="O136" s="116">
        <v>98</v>
      </c>
      <c r="P136" s="116">
        <v>98</v>
      </c>
    </row>
    <row r="137" spans="1:16" ht="40.799999999999997">
      <c r="A137" s="102">
        <v>11</v>
      </c>
      <c r="B137" s="103" t="s">
        <v>336</v>
      </c>
      <c r="C137" s="103" t="s">
        <v>337</v>
      </c>
      <c r="D137" s="100">
        <v>125</v>
      </c>
      <c r="E137" s="104" t="s">
        <v>166</v>
      </c>
      <c r="F137" s="104" t="s">
        <v>167</v>
      </c>
      <c r="G137" s="107" t="s">
        <v>338</v>
      </c>
      <c r="H137" s="106" t="s">
        <v>169</v>
      </c>
      <c r="I137" s="107" t="s">
        <v>339</v>
      </c>
      <c r="J137" s="140">
        <v>20</v>
      </c>
      <c r="K137" s="116">
        <v>20</v>
      </c>
      <c r="L137" s="116">
        <v>0</v>
      </c>
      <c r="M137" s="116">
        <v>0</v>
      </c>
      <c r="N137" s="116">
        <f t="shared" si="1"/>
        <v>10</v>
      </c>
      <c r="O137" s="116">
        <v>0</v>
      </c>
      <c r="P137" s="116">
        <v>0</v>
      </c>
    </row>
    <row r="138" spans="1:16" ht="30.6">
      <c r="A138" s="102">
        <v>11</v>
      </c>
      <c r="B138" s="103" t="s">
        <v>340</v>
      </c>
      <c r="C138" s="103" t="s">
        <v>325</v>
      </c>
      <c r="D138" s="100">
        <v>126</v>
      </c>
      <c r="E138" s="104" t="s">
        <v>166</v>
      </c>
      <c r="F138" s="104" t="s">
        <v>167</v>
      </c>
      <c r="G138" s="107" t="s">
        <v>265</v>
      </c>
      <c r="H138" s="107" t="s">
        <v>169</v>
      </c>
      <c r="I138" s="107" t="s">
        <v>176</v>
      </c>
      <c r="J138" s="140">
        <v>32</v>
      </c>
      <c r="K138" s="116">
        <v>32</v>
      </c>
      <c r="L138" s="116">
        <v>17</v>
      </c>
      <c r="M138" s="116">
        <v>16</v>
      </c>
      <c r="N138" s="116">
        <f t="shared" si="1"/>
        <v>24</v>
      </c>
      <c r="O138" s="116">
        <v>5</v>
      </c>
      <c r="P138" s="116">
        <v>0</v>
      </c>
    </row>
    <row r="139" spans="1:16" ht="30.6">
      <c r="A139" s="102"/>
      <c r="B139" s="103"/>
      <c r="C139" s="103"/>
      <c r="D139" s="100">
        <v>127</v>
      </c>
      <c r="E139" s="104" t="s">
        <v>166</v>
      </c>
      <c r="F139" s="104" t="s">
        <v>167</v>
      </c>
      <c r="G139" s="107" t="s">
        <v>265</v>
      </c>
      <c r="H139" s="107" t="s">
        <v>169</v>
      </c>
      <c r="I139" s="107" t="s">
        <v>202</v>
      </c>
      <c r="J139" s="140">
        <v>17</v>
      </c>
      <c r="K139" s="116">
        <v>17</v>
      </c>
      <c r="L139" s="116">
        <v>0</v>
      </c>
      <c r="M139" s="116">
        <v>0</v>
      </c>
      <c r="N139" s="116">
        <f t="shared" si="1"/>
        <v>9</v>
      </c>
      <c r="O139" s="116">
        <v>0</v>
      </c>
      <c r="P139" s="116">
        <v>0</v>
      </c>
    </row>
    <row r="140" spans="1:16" ht="30.6">
      <c r="A140" s="102"/>
      <c r="B140" s="103"/>
      <c r="C140" s="103"/>
      <c r="D140" s="100">
        <v>128</v>
      </c>
      <c r="E140" s="104" t="s">
        <v>166</v>
      </c>
      <c r="F140" s="104" t="s">
        <v>167</v>
      </c>
      <c r="G140" s="107" t="s">
        <v>296</v>
      </c>
      <c r="H140" s="107" t="s">
        <v>169</v>
      </c>
      <c r="I140" s="107" t="s">
        <v>218</v>
      </c>
      <c r="J140" s="140">
        <v>15</v>
      </c>
      <c r="K140" s="116">
        <v>15</v>
      </c>
      <c r="L140" s="116">
        <v>20</v>
      </c>
      <c r="M140" s="116">
        <v>30</v>
      </c>
      <c r="N140" s="116">
        <f t="shared" si="1"/>
        <v>20</v>
      </c>
      <c r="O140" s="116">
        <v>35</v>
      </c>
      <c r="P140" s="116">
        <v>35</v>
      </c>
    </row>
    <row r="141" spans="1:16" ht="30.6">
      <c r="A141" s="102"/>
      <c r="B141" s="103"/>
      <c r="C141" s="103"/>
      <c r="D141" s="100">
        <v>129</v>
      </c>
      <c r="E141" s="104" t="s">
        <v>166</v>
      </c>
      <c r="F141" s="104" t="s">
        <v>174</v>
      </c>
      <c r="G141" s="107" t="s">
        <v>332</v>
      </c>
      <c r="H141" s="107" t="s">
        <v>175</v>
      </c>
      <c r="I141" s="107" t="s">
        <v>218</v>
      </c>
      <c r="J141" s="140">
        <v>67</v>
      </c>
      <c r="K141" s="116">
        <v>67</v>
      </c>
      <c r="L141" s="116">
        <v>72</v>
      </c>
      <c r="M141" s="116">
        <v>89</v>
      </c>
      <c r="N141" s="116">
        <f t="shared" si="1"/>
        <v>74</v>
      </c>
      <c r="O141" s="116">
        <v>87</v>
      </c>
      <c r="P141" s="116">
        <v>87</v>
      </c>
    </row>
    <row r="142" spans="1:16" ht="40.799999999999997">
      <c r="A142" s="102"/>
      <c r="B142" s="103"/>
      <c r="C142" s="103"/>
      <c r="D142" s="100">
        <v>130</v>
      </c>
      <c r="E142" s="104" t="s">
        <v>341</v>
      </c>
      <c r="F142" s="104" t="s">
        <v>167</v>
      </c>
      <c r="G142" s="107" t="s">
        <v>342</v>
      </c>
      <c r="H142" s="107" t="s">
        <v>175</v>
      </c>
      <c r="I142" s="107" t="s">
        <v>343</v>
      </c>
      <c r="J142" s="140">
        <v>0</v>
      </c>
      <c r="K142" s="116">
        <v>0</v>
      </c>
      <c r="L142" s="116">
        <v>8</v>
      </c>
      <c r="M142" s="116">
        <v>25</v>
      </c>
      <c r="N142" s="116">
        <f t="shared" si="1"/>
        <v>8</v>
      </c>
      <c r="O142" s="116">
        <v>33</v>
      </c>
      <c r="P142" s="116">
        <v>46</v>
      </c>
    </row>
    <row r="143" spans="1:16" ht="40.799999999999997">
      <c r="A143" s="102"/>
      <c r="B143" s="103"/>
      <c r="C143" s="103"/>
      <c r="D143" s="100">
        <v>131</v>
      </c>
      <c r="E143" s="104" t="s">
        <v>166</v>
      </c>
      <c r="F143" s="104" t="s">
        <v>167</v>
      </c>
      <c r="G143" s="107" t="s">
        <v>265</v>
      </c>
      <c r="H143" s="107" t="s">
        <v>169</v>
      </c>
      <c r="I143" s="115" t="s">
        <v>266</v>
      </c>
      <c r="J143" s="140">
        <v>103</v>
      </c>
      <c r="K143" s="116">
        <v>102</v>
      </c>
      <c r="L143" s="116">
        <v>75</v>
      </c>
      <c r="M143" s="116">
        <v>82</v>
      </c>
      <c r="N143" s="116">
        <f t="shared" si="1"/>
        <v>91</v>
      </c>
      <c r="O143" s="116">
        <v>68</v>
      </c>
      <c r="P143" s="116">
        <v>51</v>
      </c>
    </row>
    <row r="144" spans="1:16" ht="30.6">
      <c r="A144" s="102"/>
      <c r="B144" s="103"/>
      <c r="C144" s="103"/>
      <c r="D144" s="100">
        <v>132</v>
      </c>
      <c r="E144" s="104" t="s">
        <v>166</v>
      </c>
      <c r="F144" s="104" t="s">
        <v>167</v>
      </c>
      <c r="G144" s="107" t="s">
        <v>265</v>
      </c>
      <c r="H144" s="107" t="s">
        <v>169</v>
      </c>
      <c r="I144" s="107" t="s">
        <v>177</v>
      </c>
      <c r="J144" s="140">
        <v>65</v>
      </c>
      <c r="K144" s="116">
        <v>65</v>
      </c>
      <c r="L144" s="116">
        <v>55</v>
      </c>
      <c r="M144" s="116">
        <v>65</v>
      </c>
      <c r="N144" s="116">
        <f t="shared" si="1"/>
        <v>63</v>
      </c>
      <c r="O144" s="116">
        <v>58</v>
      </c>
      <c r="P144" s="116">
        <v>43</v>
      </c>
    </row>
    <row r="145" spans="1:16" ht="40.799999999999997">
      <c r="A145" s="102"/>
      <c r="B145" s="103"/>
      <c r="C145" s="103"/>
      <c r="D145" s="100">
        <v>133</v>
      </c>
      <c r="E145" s="104" t="s">
        <v>166</v>
      </c>
      <c r="F145" s="104" t="s">
        <v>167</v>
      </c>
      <c r="G145" s="107" t="s">
        <v>265</v>
      </c>
      <c r="H145" s="106" t="s">
        <v>169</v>
      </c>
      <c r="I145" s="107" t="s">
        <v>339</v>
      </c>
      <c r="J145" s="140">
        <v>79</v>
      </c>
      <c r="K145" s="116">
        <v>79</v>
      </c>
      <c r="L145" s="116">
        <v>71</v>
      </c>
      <c r="M145" s="116">
        <v>71</v>
      </c>
      <c r="N145" s="116">
        <f t="shared" si="1"/>
        <v>75</v>
      </c>
      <c r="O145" s="116">
        <v>59</v>
      </c>
      <c r="P145" s="116">
        <v>46</v>
      </c>
    </row>
    <row r="146" spans="1:16" ht="57" customHeight="1">
      <c r="A146" s="102"/>
      <c r="B146" s="103"/>
      <c r="C146" s="103"/>
      <c r="D146" s="100">
        <v>134</v>
      </c>
      <c r="E146" s="104" t="s">
        <v>166</v>
      </c>
      <c r="F146" s="104" t="s">
        <v>167</v>
      </c>
      <c r="G146" s="107" t="s">
        <v>344</v>
      </c>
      <c r="H146" s="107" t="s">
        <v>169</v>
      </c>
      <c r="I146" s="107" t="s">
        <v>176</v>
      </c>
      <c r="J146" s="140">
        <v>32</v>
      </c>
      <c r="K146" s="116">
        <v>32</v>
      </c>
      <c r="L146" s="116">
        <v>36</v>
      </c>
      <c r="M146" s="116">
        <v>46</v>
      </c>
      <c r="N146" s="116">
        <f t="shared" si="1"/>
        <v>37</v>
      </c>
      <c r="O146" s="116">
        <v>53</v>
      </c>
      <c r="P146" s="116">
        <v>58</v>
      </c>
    </row>
    <row r="147" spans="1:16" ht="57" customHeight="1">
      <c r="A147" s="102"/>
      <c r="B147" s="103"/>
      <c r="C147" s="103"/>
      <c r="D147" s="100">
        <v>135</v>
      </c>
      <c r="E147" s="104" t="s">
        <v>166</v>
      </c>
      <c r="F147" s="104" t="s">
        <v>174</v>
      </c>
      <c r="G147" s="107" t="s">
        <v>344</v>
      </c>
      <c r="H147" s="107" t="s">
        <v>175</v>
      </c>
      <c r="I147" s="107" t="s">
        <v>176</v>
      </c>
      <c r="J147" s="140">
        <v>55</v>
      </c>
      <c r="K147" s="116">
        <v>53</v>
      </c>
      <c r="L147" s="116">
        <v>61</v>
      </c>
      <c r="M147" s="116">
        <v>78</v>
      </c>
      <c r="N147" s="116">
        <f t="shared" ref="N147:N194" si="2">ROUND((J147+K147+L147+M147)/4,0)</f>
        <v>62</v>
      </c>
      <c r="O147" s="116">
        <v>82</v>
      </c>
      <c r="P147" s="116">
        <v>95</v>
      </c>
    </row>
    <row r="148" spans="1:16" ht="30.6">
      <c r="A148" s="102">
        <v>11</v>
      </c>
      <c r="B148" s="103" t="s">
        <v>345</v>
      </c>
      <c r="C148" s="103" t="s">
        <v>325</v>
      </c>
      <c r="D148" s="100">
        <v>136</v>
      </c>
      <c r="E148" s="104" t="s">
        <v>166</v>
      </c>
      <c r="F148" s="104" t="s">
        <v>167</v>
      </c>
      <c r="G148" s="107" t="s">
        <v>302</v>
      </c>
      <c r="H148" s="107" t="s">
        <v>169</v>
      </c>
      <c r="I148" s="107" t="s">
        <v>176</v>
      </c>
      <c r="J148" s="140">
        <v>61</v>
      </c>
      <c r="K148" s="116">
        <v>50</v>
      </c>
      <c r="L148" s="116">
        <v>50</v>
      </c>
      <c r="M148" s="116">
        <v>60</v>
      </c>
      <c r="N148" s="116">
        <f t="shared" si="2"/>
        <v>55</v>
      </c>
      <c r="O148" s="116">
        <v>58</v>
      </c>
      <c r="P148" s="116">
        <v>58</v>
      </c>
    </row>
    <row r="149" spans="1:16" ht="30.6">
      <c r="A149" s="102"/>
      <c r="B149" s="103"/>
      <c r="C149" s="103"/>
      <c r="D149" s="100">
        <v>137</v>
      </c>
      <c r="E149" s="104" t="s">
        <v>166</v>
      </c>
      <c r="F149" s="104" t="s">
        <v>167</v>
      </c>
      <c r="G149" s="107" t="s">
        <v>302</v>
      </c>
      <c r="H149" s="107" t="s">
        <v>169</v>
      </c>
      <c r="I149" s="107" t="s">
        <v>170</v>
      </c>
      <c r="J149" s="140">
        <v>7</v>
      </c>
      <c r="K149" s="116">
        <v>7</v>
      </c>
      <c r="L149" s="116">
        <v>6</v>
      </c>
      <c r="M149" s="116">
        <f>8-2</f>
        <v>6</v>
      </c>
      <c r="N149" s="116">
        <f t="shared" si="2"/>
        <v>7</v>
      </c>
      <c r="O149" s="116">
        <v>7</v>
      </c>
      <c r="P149" s="116">
        <v>10</v>
      </c>
    </row>
    <row r="150" spans="1:16" ht="30.6">
      <c r="A150" s="102">
        <v>11</v>
      </c>
      <c r="B150" s="103" t="s">
        <v>346</v>
      </c>
      <c r="C150" s="103" t="s">
        <v>337</v>
      </c>
      <c r="D150" s="100">
        <v>138</v>
      </c>
      <c r="E150" s="104" t="s">
        <v>166</v>
      </c>
      <c r="F150" s="104" t="s">
        <v>167</v>
      </c>
      <c r="G150" s="107" t="s">
        <v>273</v>
      </c>
      <c r="H150" s="107" t="s">
        <v>169</v>
      </c>
      <c r="I150" s="107" t="s">
        <v>261</v>
      </c>
      <c r="J150" s="140">
        <v>31</v>
      </c>
      <c r="K150" s="116">
        <f>31-1</f>
        <v>30</v>
      </c>
      <c r="L150" s="116">
        <v>15</v>
      </c>
      <c r="M150" s="116">
        <f>30+1</f>
        <v>31</v>
      </c>
      <c r="N150" s="116">
        <f t="shared" si="2"/>
        <v>27</v>
      </c>
      <c r="O150" s="116">
        <v>30</v>
      </c>
      <c r="P150" s="116">
        <v>26</v>
      </c>
    </row>
    <row r="151" spans="1:16" ht="51">
      <c r="A151" s="102"/>
      <c r="B151" s="103"/>
      <c r="C151" s="103"/>
      <c r="D151" s="100">
        <v>139</v>
      </c>
      <c r="E151" s="104" t="s">
        <v>166</v>
      </c>
      <c r="F151" s="104" t="s">
        <v>167</v>
      </c>
      <c r="G151" s="107" t="s">
        <v>273</v>
      </c>
      <c r="H151" s="107" t="s">
        <v>169</v>
      </c>
      <c r="I151" s="107" t="s">
        <v>207</v>
      </c>
      <c r="J151" s="140">
        <v>19</v>
      </c>
      <c r="K151" s="116">
        <v>18</v>
      </c>
      <c r="L151" s="116">
        <v>23</v>
      </c>
      <c r="M151" s="116">
        <v>30</v>
      </c>
      <c r="N151" s="116">
        <f t="shared" si="2"/>
        <v>23</v>
      </c>
      <c r="O151" s="116">
        <v>25</v>
      </c>
      <c r="P151" s="116">
        <v>23</v>
      </c>
    </row>
    <row r="152" spans="1:16" ht="40.799999999999997">
      <c r="A152" s="102"/>
      <c r="B152" s="103"/>
      <c r="C152" s="103"/>
      <c r="D152" s="100">
        <v>140</v>
      </c>
      <c r="E152" s="104" t="s">
        <v>166</v>
      </c>
      <c r="F152" s="104" t="s">
        <v>167</v>
      </c>
      <c r="G152" s="107" t="s">
        <v>273</v>
      </c>
      <c r="H152" s="107" t="s">
        <v>169</v>
      </c>
      <c r="I152" s="107" t="s">
        <v>186</v>
      </c>
      <c r="J152" s="140">
        <v>0</v>
      </c>
      <c r="K152" s="116">
        <v>0</v>
      </c>
      <c r="L152" s="116">
        <v>5</v>
      </c>
      <c r="M152" s="116">
        <v>15</v>
      </c>
      <c r="N152" s="116">
        <f t="shared" si="2"/>
        <v>5</v>
      </c>
      <c r="O152" s="116">
        <v>15</v>
      </c>
      <c r="P152" s="116">
        <v>15</v>
      </c>
    </row>
    <row r="153" spans="1:16" ht="40.799999999999997">
      <c r="A153" s="102"/>
      <c r="B153" s="103"/>
      <c r="C153" s="103"/>
      <c r="D153" s="100">
        <v>141</v>
      </c>
      <c r="E153" s="104" t="s">
        <v>166</v>
      </c>
      <c r="F153" s="104" t="s">
        <v>167</v>
      </c>
      <c r="G153" s="107" t="s">
        <v>273</v>
      </c>
      <c r="H153" s="107" t="s">
        <v>169</v>
      </c>
      <c r="I153" s="115" t="s">
        <v>266</v>
      </c>
      <c r="J153" s="140">
        <f>32-3</f>
        <v>29</v>
      </c>
      <c r="K153" s="116">
        <f>32-4</f>
        <v>28</v>
      </c>
      <c r="L153" s="116">
        <v>24</v>
      </c>
      <c r="M153" s="116">
        <f>33+3+4</f>
        <v>40</v>
      </c>
      <c r="N153" s="116">
        <f t="shared" si="2"/>
        <v>30</v>
      </c>
      <c r="O153" s="116">
        <v>30</v>
      </c>
      <c r="P153" s="116">
        <v>45</v>
      </c>
    </row>
    <row r="154" spans="1:16" ht="40.799999999999997">
      <c r="A154" s="102">
        <v>11</v>
      </c>
      <c r="B154" s="103" t="s">
        <v>347</v>
      </c>
      <c r="C154" s="103" t="s">
        <v>348</v>
      </c>
      <c r="D154" s="100">
        <v>142</v>
      </c>
      <c r="E154" s="104" t="s">
        <v>166</v>
      </c>
      <c r="F154" s="104" t="s">
        <v>174</v>
      </c>
      <c r="G154" s="107" t="s">
        <v>306</v>
      </c>
      <c r="H154" s="107" t="s">
        <v>175</v>
      </c>
      <c r="I154" s="107" t="s">
        <v>210</v>
      </c>
      <c r="J154" s="140">
        <v>84</v>
      </c>
      <c r="K154" s="116">
        <v>73</v>
      </c>
      <c r="L154" s="116">
        <v>81</v>
      </c>
      <c r="M154" s="116">
        <v>98</v>
      </c>
      <c r="N154" s="116">
        <f t="shared" si="2"/>
        <v>84</v>
      </c>
      <c r="O154" s="116">
        <v>91</v>
      </c>
      <c r="P154" s="116">
        <v>86</v>
      </c>
    </row>
    <row r="155" spans="1:16" ht="40.799999999999997">
      <c r="A155" s="102">
        <v>11</v>
      </c>
      <c r="B155" s="103" t="s">
        <v>349</v>
      </c>
      <c r="C155" s="103" t="s">
        <v>350</v>
      </c>
      <c r="D155" s="100">
        <v>143</v>
      </c>
      <c r="E155" s="104" t="s">
        <v>166</v>
      </c>
      <c r="F155" s="105" t="s">
        <v>167</v>
      </c>
      <c r="G155" s="106" t="s">
        <v>351</v>
      </c>
      <c r="H155" s="106" t="s">
        <v>169</v>
      </c>
      <c r="I155" s="107" t="s">
        <v>186</v>
      </c>
      <c r="J155" s="140">
        <v>0</v>
      </c>
      <c r="K155" s="116">
        <v>0</v>
      </c>
      <c r="L155" s="116">
        <v>0</v>
      </c>
      <c r="M155" s="116">
        <v>0</v>
      </c>
      <c r="N155" s="116">
        <f t="shared" si="2"/>
        <v>0</v>
      </c>
      <c r="O155" s="116">
        <v>0</v>
      </c>
      <c r="P155" s="116">
        <v>0</v>
      </c>
    </row>
    <row r="156" spans="1:16" ht="30.6">
      <c r="A156" s="102"/>
      <c r="B156" s="103"/>
      <c r="C156" s="103"/>
      <c r="D156" s="100">
        <v>144</v>
      </c>
      <c r="E156" s="104" t="s">
        <v>166</v>
      </c>
      <c r="F156" s="104" t="s">
        <v>174</v>
      </c>
      <c r="G156" s="107" t="s">
        <v>352</v>
      </c>
      <c r="H156" s="107" t="s">
        <v>175</v>
      </c>
      <c r="I156" s="107" t="s">
        <v>343</v>
      </c>
      <c r="J156" s="140">
        <v>0</v>
      </c>
      <c r="K156" s="116">
        <v>0</v>
      </c>
      <c r="L156" s="116">
        <v>8</v>
      </c>
      <c r="M156" s="116">
        <v>25</v>
      </c>
      <c r="N156" s="116">
        <f t="shared" si="2"/>
        <v>8</v>
      </c>
      <c r="O156" s="116">
        <v>33</v>
      </c>
      <c r="P156" s="116">
        <v>58</v>
      </c>
    </row>
    <row r="157" spans="1:16" ht="30.6">
      <c r="A157" s="102">
        <v>11</v>
      </c>
      <c r="B157" s="103" t="s">
        <v>353</v>
      </c>
      <c r="C157" s="103" t="s">
        <v>329</v>
      </c>
      <c r="D157" s="100">
        <v>145</v>
      </c>
      <c r="E157" s="104" t="s">
        <v>166</v>
      </c>
      <c r="F157" s="104" t="s">
        <v>167</v>
      </c>
      <c r="G157" s="107" t="s">
        <v>352</v>
      </c>
      <c r="H157" s="106" t="s">
        <v>169</v>
      </c>
      <c r="I157" s="107" t="s">
        <v>343</v>
      </c>
      <c r="J157" s="140">
        <v>25</v>
      </c>
      <c r="K157" s="116">
        <v>25</v>
      </c>
      <c r="L157" s="116">
        <v>12</v>
      </c>
      <c r="M157" s="116">
        <v>12</v>
      </c>
      <c r="N157" s="116">
        <f t="shared" si="2"/>
        <v>19</v>
      </c>
      <c r="O157" s="116">
        <v>12</v>
      </c>
      <c r="P157" s="116">
        <v>6</v>
      </c>
    </row>
    <row r="158" spans="1:16" ht="40.799999999999997">
      <c r="A158" s="102">
        <v>11</v>
      </c>
      <c r="B158" s="103" t="s">
        <v>354</v>
      </c>
      <c r="C158" s="103" t="s">
        <v>242</v>
      </c>
      <c r="D158" s="100">
        <v>146</v>
      </c>
      <c r="E158" s="104" t="s">
        <v>166</v>
      </c>
      <c r="F158" s="104" t="s">
        <v>167</v>
      </c>
      <c r="G158" s="107" t="s">
        <v>355</v>
      </c>
      <c r="H158" s="107" t="s">
        <v>169</v>
      </c>
      <c r="I158" s="107" t="s">
        <v>186</v>
      </c>
      <c r="J158" s="140">
        <v>30</v>
      </c>
      <c r="K158" s="116">
        <f>30-2</f>
        <v>28</v>
      </c>
      <c r="L158" s="116">
        <v>30</v>
      </c>
      <c r="M158" s="116">
        <f>30+2</f>
        <v>32</v>
      </c>
      <c r="N158" s="116">
        <f t="shared" si="2"/>
        <v>30</v>
      </c>
      <c r="O158" s="116">
        <v>27</v>
      </c>
      <c r="P158" s="116">
        <v>30</v>
      </c>
    </row>
    <row r="159" spans="1:16" ht="30.6">
      <c r="A159" s="102"/>
      <c r="B159" s="103"/>
      <c r="C159" s="103"/>
      <c r="D159" s="100">
        <v>147</v>
      </c>
      <c r="E159" s="104" t="s">
        <v>166</v>
      </c>
      <c r="F159" s="105" t="s">
        <v>174</v>
      </c>
      <c r="G159" s="107" t="s">
        <v>355</v>
      </c>
      <c r="H159" s="107" t="s">
        <v>175</v>
      </c>
      <c r="I159" s="107" t="s">
        <v>218</v>
      </c>
      <c r="J159" s="140">
        <v>86</v>
      </c>
      <c r="K159" s="116">
        <v>86</v>
      </c>
      <c r="L159" s="116">
        <f>76+15</f>
        <v>91</v>
      </c>
      <c r="M159" s="116">
        <f>93+15</f>
        <v>108</v>
      </c>
      <c r="N159" s="116">
        <f t="shared" si="2"/>
        <v>93</v>
      </c>
      <c r="O159" s="116">
        <f>85+18</f>
        <v>103</v>
      </c>
      <c r="P159" s="116">
        <f>85+18</f>
        <v>103</v>
      </c>
    </row>
    <row r="160" spans="1:16" ht="30.6">
      <c r="A160" s="102"/>
      <c r="B160" s="103"/>
      <c r="C160" s="103"/>
      <c r="D160" s="100">
        <v>148</v>
      </c>
      <c r="E160" s="104" t="s">
        <v>166</v>
      </c>
      <c r="F160" s="105" t="s">
        <v>174</v>
      </c>
      <c r="G160" s="107" t="s">
        <v>355</v>
      </c>
      <c r="H160" s="107" t="s">
        <v>175</v>
      </c>
      <c r="I160" s="107" t="s">
        <v>172</v>
      </c>
      <c r="J160" s="140">
        <f>73-3</f>
        <v>70</v>
      </c>
      <c r="K160" s="116">
        <f>73-6</f>
        <v>67</v>
      </c>
      <c r="L160" s="116">
        <v>22</v>
      </c>
      <c r="M160" s="116">
        <f>22+3+6</f>
        <v>31</v>
      </c>
      <c r="N160" s="116">
        <f t="shared" si="2"/>
        <v>48</v>
      </c>
      <c r="O160" s="116">
        <v>11</v>
      </c>
      <c r="P160" s="116">
        <v>0</v>
      </c>
    </row>
    <row r="161" spans="1:16" ht="30.6">
      <c r="A161" s="102"/>
      <c r="B161" s="103"/>
      <c r="C161" s="103"/>
      <c r="D161" s="100">
        <v>149</v>
      </c>
      <c r="E161" s="104" t="s">
        <v>166</v>
      </c>
      <c r="F161" s="105" t="s">
        <v>174</v>
      </c>
      <c r="G161" s="107" t="s">
        <v>355</v>
      </c>
      <c r="H161" s="107" t="s">
        <v>175</v>
      </c>
      <c r="I161" s="107" t="s">
        <v>244</v>
      </c>
      <c r="J161" s="140">
        <v>49</v>
      </c>
      <c r="K161" s="116">
        <v>48</v>
      </c>
      <c r="L161" s="116">
        <v>23</v>
      </c>
      <c r="M161" s="116">
        <v>24</v>
      </c>
      <c r="N161" s="116">
        <f t="shared" si="2"/>
        <v>36</v>
      </c>
      <c r="O161" s="116">
        <v>17</v>
      </c>
      <c r="P161" s="116">
        <v>0</v>
      </c>
    </row>
    <row r="162" spans="1:16" ht="30.6">
      <c r="A162" s="102"/>
      <c r="B162" s="103"/>
      <c r="C162" s="103"/>
      <c r="D162" s="100">
        <v>150</v>
      </c>
      <c r="E162" s="104" t="s">
        <v>166</v>
      </c>
      <c r="F162" s="105" t="s">
        <v>174</v>
      </c>
      <c r="G162" s="107" t="s">
        <v>355</v>
      </c>
      <c r="H162" s="107" t="s">
        <v>175</v>
      </c>
      <c r="I162" s="107" t="s">
        <v>356</v>
      </c>
      <c r="J162" s="140">
        <f>121-6</f>
        <v>115</v>
      </c>
      <c r="K162" s="116">
        <f>120-5</f>
        <v>115</v>
      </c>
      <c r="L162" s="116">
        <v>109</v>
      </c>
      <c r="M162" s="116">
        <f>125+6+5</f>
        <v>136</v>
      </c>
      <c r="N162" s="116">
        <f t="shared" si="2"/>
        <v>119</v>
      </c>
      <c r="O162" s="116">
        <v>90</v>
      </c>
      <c r="P162" s="116">
        <v>65</v>
      </c>
    </row>
    <row r="163" spans="1:16" ht="30.6">
      <c r="A163" s="102"/>
      <c r="B163" s="103"/>
      <c r="C163" s="103"/>
      <c r="D163" s="100">
        <v>151</v>
      </c>
      <c r="E163" s="104" t="s">
        <v>166</v>
      </c>
      <c r="F163" s="105" t="s">
        <v>174</v>
      </c>
      <c r="G163" s="107" t="s">
        <v>355</v>
      </c>
      <c r="H163" s="107" t="s">
        <v>175</v>
      </c>
      <c r="I163" s="107" t="s">
        <v>179</v>
      </c>
      <c r="J163" s="140">
        <v>38</v>
      </c>
      <c r="K163" s="116">
        <v>36</v>
      </c>
      <c r="L163" s="116">
        <v>22</v>
      </c>
      <c r="M163" s="116">
        <v>22</v>
      </c>
      <c r="N163" s="116">
        <f t="shared" si="2"/>
        <v>30</v>
      </c>
      <c r="O163" s="116">
        <v>30</v>
      </c>
      <c r="P163" s="116">
        <v>30</v>
      </c>
    </row>
    <row r="164" spans="1:16" ht="30.6">
      <c r="A164" s="102"/>
      <c r="B164" s="103"/>
      <c r="C164" s="103"/>
      <c r="D164" s="100">
        <v>152</v>
      </c>
      <c r="E164" s="104" t="s">
        <v>166</v>
      </c>
      <c r="F164" s="105" t="s">
        <v>174</v>
      </c>
      <c r="G164" s="107" t="s">
        <v>357</v>
      </c>
      <c r="H164" s="107" t="s">
        <v>175</v>
      </c>
      <c r="I164" s="107" t="s">
        <v>187</v>
      </c>
      <c r="J164" s="140">
        <v>24</v>
      </c>
      <c r="K164" s="116">
        <v>24</v>
      </c>
      <c r="L164" s="116">
        <v>0</v>
      </c>
      <c r="M164" s="116">
        <v>0</v>
      </c>
      <c r="N164" s="116">
        <f t="shared" si="2"/>
        <v>12</v>
      </c>
      <c r="O164" s="116">
        <v>0</v>
      </c>
      <c r="P164" s="116">
        <v>0</v>
      </c>
    </row>
    <row r="165" spans="1:16" ht="30.6">
      <c r="A165" s="102"/>
      <c r="B165" s="103"/>
      <c r="C165" s="103"/>
      <c r="D165" s="100">
        <v>153</v>
      </c>
      <c r="E165" s="104" t="s">
        <v>166</v>
      </c>
      <c r="F165" s="105" t="s">
        <v>174</v>
      </c>
      <c r="G165" s="107" t="s">
        <v>355</v>
      </c>
      <c r="H165" s="107" t="s">
        <v>175</v>
      </c>
      <c r="I165" s="107" t="s">
        <v>187</v>
      </c>
      <c r="J165" s="140">
        <v>96</v>
      </c>
      <c r="K165" s="116">
        <v>95</v>
      </c>
      <c r="L165" s="116">
        <v>76</v>
      </c>
      <c r="M165" s="116">
        <v>76</v>
      </c>
      <c r="N165" s="116">
        <f t="shared" si="2"/>
        <v>86</v>
      </c>
      <c r="O165" s="116">
        <v>63</v>
      </c>
      <c r="P165" s="116">
        <v>38</v>
      </c>
    </row>
    <row r="166" spans="1:16" ht="30.6">
      <c r="A166" s="102"/>
      <c r="B166" s="103"/>
      <c r="C166" s="103"/>
      <c r="D166" s="100">
        <v>154</v>
      </c>
      <c r="E166" s="104" t="s">
        <v>166</v>
      </c>
      <c r="F166" s="105" t="s">
        <v>174</v>
      </c>
      <c r="G166" s="107" t="s">
        <v>355</v>
      </c>
      <c r="H166" s="107" t="s">
        <v>175</v>
      </c>
      <c r="I166" s="107" t="s">
        <v>170</v>
      </c>
      <c r="J166" s="140">
        <f>45-1</f>
        <v>44</v>
      </c>
      <c r="K166" s="116">
        <f>45-1</f>
        <v>44</v>
      </c>
      <c r="L166" s="116">
        <v>33</v>
      </c>
      <c r="M166" s="116">
        <f>51+1-16+1-16</f>
        <v>21</v>
      </c>
      <c r="N166" s="116">
        <f t="shared" si="2"/>
        <v>36</v>
      </c>
      <c r="O166" s="116">
        <v>42</v>
      </c>
      <c r="P166" s="116">
        <v>42</v>
      </c>
    </row>
    <row r="167" spans="1:16" ht="30.6">
      <c r="A167" s="102"/>
      <c r="B167" s="103"/>
      <c r="C167" s="103"/>
      <c r="D167" s="100">
        <v>155</v>
      </c>
      <c r="E167" s="104" t="s">
        <v>166</v>
      </c>
      <c r="F167" s="105" t="s">
        <v>174</v>
      </c>
      <c r="G167" s="107" t="s">
        <v>355</v>
      </c>
      <c r="H167" s="107" t="s">
        <v>175</v>
      </c>
      <c r="I167" s="107" t="s">
        <v>358</v>
      </c>
      <c r="J167" s="140">
        <v>92</v>
      </c>
      <c r="K167" s="116">
        <v>90</v>
      </c>
      <c r="L167" s="116">
        <v>71</v>
      </c>
      <c r="M167" s="116">
        <v>84</v>
      </c>
      <c r="N167" s="116">
        <f t="shared" si="2"/>
        <v>84</v>
      </c>
      <c r="O167" s="116">
        <v>87</v>
      </c>
      <c r="P167" s="116">
        <v>87</v>
      </c>
    </row>
    <row r="168" spans="1:16" ht="30.6">
      <c r="A168" s="102"/>
      <c r="B168" s="103"/>
      <c r="C168" s="103"/>
      <c r="D168" s="100">
        <v>156</v>
      </c>
      <c r="E168" s="104" t="s">
        <v>166</v>
      </c>
      <c r="F168" s="105" t="s">
        <v>174</v>
      </c>
      <c r="G168" s="107" t="s">
        <v>355</v>
      </c>
      <c r="H168" s="107" t="s">
        <v>175</v>
      </c>
      <c r="I168" s="107" t="s">
        <v>343</v>
      </c>
      <c r="J168" s="140">
        <v>88</v>
      </c>
      <c r="K168" s="116">
        <v>88</v>
      </c>
      <c r="L168" s="116">
        <v>68</v>
      </c>
      <c r="M168" s="116">
        <v>68</v>
      </c>
      <c r="N168" s="116">
        <f t="shared" si="2"/>
        <v>78</v>
      </c>
      <c r="O168" s="116">
        <v>60</v>
      </c>
      <c r="P168" s="116">
        <v>39</v>
      </c>
    </row>
    <row r="169" spans="1:16" ht="30.6">
      <c r="A169" s="102"/>
      <c r="B169" s="103"/>
      <c r="C169" s="103"/>
      <c r="D169" s="100">
        <v>157</v>
      </c>
      <c r="E169" s="104" t="s">
        <v>166</v>
      </c>
      <c r="F169" s="105" t="s">
        <v>174</v>
      </c>
      <c r="G169" s="107" t="s">
        <v>355</v>
      </c>
      <c r="H169" s="107" t="s">
        <v>175</v>
      </c>
      <c r="I169" s="107" t="s">
        <v>176</v>
      </c>
      <c r="J169" s="140">
        <v>103</v>
      </c>
      <c r="K169" s="116">
        <v>102</v>
      </c>
      <c r="L169" s="116">
        <v>77</v>
      </c>
      <c r="M169" s="116">
        <v>75</v>
      </c>
      <c r="N169" s="116">
        <f t="shared" si="2"/>
        <v>89</v>
      </c>
      <c r="O169" s="116">
        <v>60</v>
      </c>
      <c r="P169" s="116">
        <v>30</v>
      </c>
    </row>
    <row r="170" spans="1:16" ht="30.6">
      <c r="A170" s="102"/>
      <c r="B170" s="103"/>
      <c r="C170" s="103"/>
      <c r="D170" s="100">
        <v>158</v>
      </c>
      <c r="E170" s="104" t="s">
        <v>166</v>
      </c>
      <c r="F170" s="105" t="s">
        <v>174</v>
      </c>
      <c r="G170" s="107" t="s">
        <v>355</v>
      </c>
      <c r="H170" s="107" t="s">
        <v>175</v>
      </c>
      <c r="I170" s="107" t="s">
        <v>261</v>
      </c>
      <c r="J170" s="140">
        <v>38</v>
      </c>
      <c r="K170" s="116">
        <v>38</v>
      </c>
      <c r="L170" s="116">
        <v>27</v>
      </c>
      <c r="M170" s="116">
        <v>42</v>
      </c>
      <c r="N170" s="116">
        <f t="shared" si="2"/>
        <v>36</v>
      </c>
      <c r="O170" s="116">
        <v>32</v>
      </c>
      <c r="P170" s="116">
        <v>32</v>
      </c>
    </row>
    <row r="171" spans="1:16" ht="30.6">
      <c r="A171" s="102">
        <v>11</v>
      </c>
      <c r="B171" s="103" t="s">
        <v>359</v>
      </c>
      <c r="C171" s="103" t="s">
        <v>360</v>
      </c>
      <c r="D171" s="100">
        <v>159</v>
      </c>
      <c r="E171" s="104" t="s">
        <v>166</v>
      </c>
      <c r="F171" s="104" t="s">
        <v>167</v>
      </c>
      <c r="G171" s="107" t="s">
        <v>205</v>
      </c>
      <c r="H171" s="107" t="s">
        <v>169</v>
      </c>
      <c r="I171" s="107" t="s">
        <v>188</v>
      </c>
      <c r="J171" s="140">
        <v>53</v>
      </c>
      <c r="K171" s="116">
        <v>55</v>
      </c>
      <c r="L171" s="116">
        <v>35</v>
      </c>
      <c r="M171" s="116">
        <v>50</v>
      </c>
      <c r="N171" s="116">
        <f t="shared" si="2"/>
        <v>48</v>
      </c>
      <c r="O171" s="116">
        <v>48</v>
      </c>
      <c r="P171" s="116">
        <v>48</v>
      </c>
    </row>
    <row r="172" spans="1:16" ht="30.6">
      <c r="A172" s="102"/>
      <c r="B172" s="103"/>
      <c r="C172" s="103"/>
      <c r="D172" s="100">
        <v>160</v>
      </c>
      <c r="E172" s="104" t="s">
        <v>166</v>
      </c>
      <c r="F172" s="104" t="s">
        <v>167</v>
      </c>
      <c r="G172" s="107" t="s">
        <v>205</v>
      </c>
      <c r="H172" s="107" t="s">
        <v>169</v>
      </c>
      <c r="I172" s="107" t="s">
        <v>185</v>
      </c>
      <c r="J172" s="140">
        <v>77</v>
      </c>
      <c r="K172" s="116">
        <v>76</v>
      </c>
      <c r="L172" s="116">
        <v>62</v>
      </c>
      <c r="M172" s="116">
        <v>72</v>
      </c>
      <c r="N172" s="116">
        <f t="shared" si="2"/>
        <v>72</v>
      </c>
      <c r="O172" s="116">
        <v>62</v>
      </c>
      <c r="P172" s="116">
        <v>60</v>
      </c>
    </row>
    <row r="173" spans="1:16" ht="30.6">
      <c r="A173" s="102"/>
      <c r="B173" s="103"/>
      <c r="C173" s="103"/>
      <c r="D173" s="100">
        <v>161</v>
      </c>
      <c r="E173" s="104" t="s">
        <v>166</v>
      </c>
      <c r="F173" s="105" t="s">
        <v>174</v>
      </c>
      <c r="G173" s="107" t="s">
        <v>173</v>
      </c>
      <c r="H173" s="107" t="s">
        <v>175</v>
      </c>
      <c r="I173" s="107" t="s">
        <v>179</v>
      </c>
      <c r="J173" s="140">
        <v>43</v>
      </c>
      <c r="K173" s="116">
        <f>42-2</f>
        <v>40</v>
      </c>
      <c r="L173" s="116">
        <v>38</v>
      </c>
      <c r="M173" s="116">
        <f>40+2</f>
        <v>42</v>
      </c>
      <c r="N173" s="116">
        <f t="shared" si="2"/>
        <v>41</v>
      </c>
      <c r="O173" s="116">
        <v>41</v>
      </c>
      <c r="P173" s="116">
        <v>41</v>
      </c>
    </row>
    <row r="174" spans="1:16" ht="30.6">
      <c r="A174" s="102"/>
      <c r="B174" s="103"/>
      <c r="C174" s="103"/>
      <c r="D174" s="100">
        <v>162</v>
      </c>
      <c r="E174" s="104" t="s">
        <v>166</v>
      </c>
      <c r="F174" s="104" t="s">
        <v>167</v>
      </c>
      <c r="G174" s="107" t="s">
        <v>205</v>
      </c>
      <c r="H174" s="107" t="s">
        <v>169</v>
      </c>
      <c r="I174" s="107" t="s">
        <v>179</v>
      </c>
      <c r="J174" s="140">
        <v>25</v>
      </c>
      <c r="K174" s="116">
        <v>25</v>
      </c>
      <c r="L174" s="116">
        <v>15</v>
      </c>
      <c r="M174" s="116">
        <v>30</v>
      </c>
      <c r="N174" s="116">
        <f t="shared" si="2"/>
        <v>24</v>
      </c>
      <c r="O174" s="116">
        <v>24</v>
      </c>
      <c r="P174" s="116">
        <v>24</v>
      </c>
    </row>
    <row r="175" spans="1:16" ht="30.6">
      <c r="A175" s="102"/>
      <c r="B175" s="103"/>
      <c r="C175" s="103"/>
      <c r="D175" s="100">
        <v>163</v>
      </c>
      <c r="E175" s="104" t="s">
        <v>166</v>
      </c>
      <c r="F175" s="104" t="s">
        <v>167</v>
      </c>
      <c r="G175" s="107" t="s">
        <v>273</v>
      </c>
      <c r="H175" s="107" t="s">
        <v>169</v>
      </c>
      <c r="I175" s="107" t="s">
        <v>343</v>
      </c>
      <c r="J175" s="140">
        <v>0</v>
      </c>
      <c r="K175" s="116">
        <v>0</v>
      </c>
      <c r="L175" s="116">
        <v>5</v>
      </c>
      <c r="M175" s="116">
        <v>15</v>
      </c>
      <c r="N175" s="116">
        <f t="shared" si="2"/>
        <v>5</v>
      </c>
      <c r="O175" s="116">
        <v>20</v>
      </c>
      <c r="P175" s="116">
        <v>35</v>
      </c>
    </row>
    <row r="176" spans="1:16" ht="40.799999999999997">
      <c r="A176" s="102"/>
      <c r="B176" s="103"/>
      <c r="C176" s="103"/>
      <c r="D176" s="100">
        <v>164</v>
      </c>
      <c r="E176" s="104" t="s">
        <v>341</v>
      </c>
      <c r="F176" s="104" t="s">
        <v>174</v>
      </c>
      <c r="G176" s="107" t="s">
        <v>361</v>
      </c>
      <c r="H176" s="107" t="s">
        <v>175</v>
      </c>
      <c r="I176" s="107" t="s">
        <v>343</v>
      </c>
      <c r="J176" s="140">
        <v>0</v>
      </c>
      <c r="K176" s="116">
        <v>0</v>
      </c>
      <c r="L176" s="116">
        <v>8</v>
      </c>
      <c r="M176" s="116">
        <v>25</v>
      </c>
      <c r="N176" s="116">
        <f t="shared" si="2"/>
        <v>8</v>
      </c>
      <c r="O176" s="116">
        <v>29</v>
      </c>
      <c r="P176" s="116">
        <v>50</v>
      </c>
    </row>
    <row r="177" spans="1:16" ht="30.6">
      <c r="A177" s="102"/>
      <c r="B177" s="103"/>
      <c r="C177" s="103"/>
      <c r="D177" s="100">
        <v>165</v>
      </c>
      <c r="E177" s="104" t="s">
        <v>166</v>
      </c>
      <c r="F177" s="104" t="s">
        <v>174</v>
      </c>
      <c r="G177" s="107" t="s">
        <v>273</v>
      </c>
      <c r="H177" s="107" t="s">
        <v>175</v>
      </c>
      <c r="I177" s="107" t="s">
        <v>343</v>
      </c>
      <c r="J177" s="140">
        <v>0</v>
      </c>
      <c r="K177" s="116">
        <v>0</v>
      </c>
      <c r="L177" s="116">
        <v>8</v>
      </c>
      <c r="M177" s="116">
        <v>25</v>
      </c>
      <c r="N177" s="116">
        <f t="shared" si="2"/>
        <v>8</v>
      </c>
      <c r="O177" s="116">
        <v>25</v>
      </c>
      <c r="P177" s="116">
        <v>29</v>
      </c>
    </row>
    <row r="178" spans="1:16" ht="30.6">
      <c r="A178" s="102">
        <v>11</v>
      </c>
      <c r="B178" s="103" t="s">
        <v>362</v>
      </c>
      <c r="C178" s="103" t="s">
        <v>325</v>
      </c>
      <c r="D178" s="100">
        <v>166</v>
      </c>
      <c r="E178" s="104" t="s">
        <v>166</v>
      </c>
      <c r="F178" s="104" t="s">
        <v>167</v>
      </c>
      <c r="G178" s="107" t="s">
        <v>275</v>
      </c>
      <c r="H178" s="107" t="s">
        <v>169</v>
      </c>
      <c r="I178" s="107" t="s">
        <v>343</v>
      </c>
      <c r="J178" s="140">
        <v>9</v>
      </c>
      <c r="K178" s="116">
        <v>9</v>
      </c>
      <c r="L178" s="116">
        <v>9</v>
      </c>
      <c r="M178" s="116">
        <f>12-3</f>
        <v>9</v>
      </c>
      <c r="N178" s="116">
        <f t="shared" si="2"/>
        <v>9</v>
      </c>
      <c r="O178" s="116">
        <v>5</v>
      </c>
      <c r="P178" s="116">
        <v>0</v>
      </c>
    </row>
    <row r="179" spans="1:16" ht="30.6">
      <c r="A179" s="102"/>
      <c r="B179" s="103"/>
      <c r="C179" s="103"/>
      <c r="D179" s="100">
        <v>167</v>
      </c>
      <c r="E179" s="104" t="s">
        <v>166</v>
      </c>
      <c r="F179" s="104" t="s">
        <v>167</v>
      </c>
      <c r="G179" s="107" t="s">
        <v>275</v>
      </c>
      <c r="H179" s="107" t="s">
        <v>169</v>
      </c>
      <c r="I179" s="107" t="s">
        <v>244</v>
      </c>
      <c r="J179" s="140">
        <v>53</v>
      </c>
      <c r="K179" s="116">
        <v>52</v>
      </c>
      <c r="L179" s="116">
        <v>42</v>
      </c>
      <c r="M179" s="116">
        <v>45</v>
      </c>
      <c r="N179" s="116">
        <f t="shared" si="2"/>
        <v>48</v>
      </c>
      <c r="O179" s="116">
        <v>48</v>
      </c>
      <c r="P179" s="116">
        <v>48</v>
      </c>
    </row>
    <row r="180" spans="1:16" ht="30.6">
      <c r="A180" s="102">
        <v>11</v>
      </c>
      <c r="B180" s="103" t="s">
        <v>363</v>
      </c>
      <c r="C180" s="103" t="s">
        <v>337</v>
      </c>
      <c r="D180" s="100">
        <v>168</v>
      </c>
      <c r="E180" s="104" t="s">
        <v>166</v>
      </c>
      <c r="F180" s="104" t="s">
        <v>167</v>
      </c>
      <c r="G180" s="107" t="s">
        <v>364</v>
      </c>
      <c r="H180" s="107" t="s">
        <v>169</v>
      </c>
      <c r="I180" s="107" t="s">
        <v>176</v>
      </c>
      <c r="J180" s="140">
        <v>50</v>
      </c>
      <c r="K180" s="116">
        <v>40</v>
      </c>
      <c r="L180" s="116">
        <v>40</v>
      </c>
      <c r="M180" s="116">
        <v>49</v>
      </c>
      <c r="N180" s="116">
        <f t="shared" si="2"/>
        <v>45</v>
      </c>
      <c r="O180" s="116">
        <v>43</v>
      </c>
      <c r="P180" s="116">
        <v>43</v>
      </c>
    </row>
    <row r="181" spans="1:16" ht="30.6">
      <c r="A181" s="102"/>
      <c r="B181" s="103"/>
      <c r="C181" s="103"/>
      <c r="D181" s="100">
        <v>169</v>
      </c>
      <c r="E181" s="104" t="s">
        <v>166</v>
      </c>
      <c r="F181" s="104" t="s">
        <v>167</v>
      </c>
      <c r="G181" s="107" t="s">
        <v>364</v>
      </c>
      <c r="H181" s="107" t="s">
        <v>169</v>
      </c>
      <c r="I181" s="107" t="s">
        <v>244</v>
      </c>
      <c r="J181" s="140">
        <v>69</v>
      </c>
      <c r="K181" s="116">
        <v>68</v>
      </c>
      <c r="L181" s="116">
        <v>43</v>
      </c>
      <c r="M181" s="116">
        <v>48</v>
      </c>
      <c r="N181" s="116">
        <f t="shared" si="2"/>
        <v>57</v>
      </c>
      <c r="O181" s="116">
        <v>57</v>
      </c>
      <c r="P181" s="116">
        <v>57</v>
      </c>
    </row>
    <row r="182" spans="1:16" ht="30.6">
      <c r="A182" s="102"/>
      <c r="B182" s="103"/>
      <c r="C182" s="103"/>
      <c r="D182" s="100">
        <v>170</v>
      </c>
      <c r="E182" s="104" t="s">
        <v>166</v>
      </c>
      <c r="F182" s="104" t="s">
        <v>167</v>
      </c>
      <c r="G182" s="107" t="s">
        <v>364</v>
      </c>
      <c r="H182" s="107" t="s">
        <v>169</v>
      </c>
      <c r="I182" s="107" t="s">
        <v>179</v>
      </c>
      <c r="J182" s="140">
        <v>49</v>
      </c>
      <c r="K182" s="116">
        <v>47</v>
      </c>
      <c r="L182" s="116">
        <v>32</v>
      </c>
      <c r="M182" s="116">
        <v>45</v>
      </c>
      <c r="N182" s="116">
        <f t="shared" si="2"/>
        <v>43</v>
      </c>
      <c r="O182" s="116">
        <v>43</v>
      </c>
      <c r="P182" s="116">
        <v>43</v>
      </c>
    </row>
    <row r="183" spans="1:16" ht="30.6">
      <c r="A183" s="102"/>
      <c r="B183" s="103"/>
      <c r="C183" s="103"/>
      <c r="D183" s="100">
        <v>171</v>
      </c>
      <c r="E183" s="104" t="s">
        <v>166</v>
      </c>
      <c r="F183" s="104" t="s">
        <v>167</v>
      </c>
      <c r="G183" s="107" t="s">
        <v>364</v>
      </c>
      <c r="H183" s="107" t="s">
        <v>169</v>
      </c>
      <c r="I183" s="107" t="s">
        <v>170</v>
      </c>
      <c r="J183" s="140">
        <f>29-2-2</f>
        <v>25</v>
      </c>
      <c r="K183" s="116">
        <v>29</v>
      </c>
      <c r="L183" s="116">
        <v>25</v>
      </c>
      <c r="M183" s="116">
        <f>35+2+2</f>
        <v>39</v>
      </c>
      <c r="N183" s="116">
        <f t="shared" si="2"/>
        <v>30</v>
      </c>
      <c r="O183" s="116">
        <v>27</v>
      </c>
      <c r="P183" s="116">
        <v>27</v>
      </c>
    </row>
    <row r="184" spans="1:16" ht="40.799999999999997">
      <c r="A184" s="102"/>
      <c r="B184" s="103"/>
      <c r="C184" s="103"/>
      <c r="D184" s="100">
        <v>172</v>
      </c>
      <c r="E184" s="104" t="s">
        <v>166</v>
      </c>
      <c r="F184" s="104" t="s">
        <v>167</v>
      </c>
      <c r="G184" s="107" t="s">
        <v>364</v>
      </c>
      <c r="H184" s="107" t="s">
        <v>169</v>
      </c>
      <c r="I184" s="107" t="s">
        <v>210</v>
      </c>
      <c r="J184" s="140">
        <v>55</v>
      </c>
      <c r="K184" s="116">
        <v>55</v>
      </c>
      <c r="L184" s="116">
        <v>46</v>
      </c>
      <c r="M184" s="116">
        <v>56</v>
      </c>
      <c r="N184" s="116">
        <f t="shared" si="2"/>
        <v>53</v>
      </c>
      <c r="O184" s="116">
        <v>49</v>
      </c>
      <c r="P184" s="116">
        <v>41</v>
      </c>
    </row>
    <row r="185" spans="1:16" ht="30.6">
      <c r="A185" s="102"/>
      <c r="B185" s="103"/>
      <c r="C185" s="103"/>
      <c r="D185" s="100">
        <v>173</v>
      </c>
      <c r="E185" s="104" t="s">
        <v>166</v>
      </c>
      <c r="F185" s="105" t="s">
        <v>174</v>
      </c>
      <c r="G185" s="107" t="s">
        <v>364</v>
      </c>
      <c r="H185" s="107" t="s">
        <v>175</v>
      </c>
      <c r="I185" s="107" t="s">
        <v>358</v>
      </c>
      <c r="J185" s="140">
        <v>37</v>
      </c>
      <c r="K185" s="116">
        <v>34</v>
      </c>
      <c r="L185" s="116">
        <v>39</v>
      </c>
      <c r="M185" s="116">
        <v>54</v>
      </c>
      <c r="N185" s="116">
        <f t="shared" si="2"/>
        <v>41</v>
      </c>
      <c r="O185" s="116">
        <v>47</v>
      </c>
      <c r="P185" s="116">
        <v>47</v>
      </c>
    </row>
    <row r="186" spans="1:16" ht="30.6">
      <c r="A186" s="102"/>
      <c r="B186" s="103"/>
      <c r="C186" s="103"/>
      <c r="D186" s="100">
        <v>174</v>
      </c>
      <c r="E186" s="104" t="s">
        <v>166</v>
      </c>
      <c r="F186" s="104" t="s">
        <v>174</v>
      </c>
      <c r="G186" s="107" t="s">
        <v>364</v>
      </c>
      <c r="H186" s="107" t="s">
        <v>175</v>
      </c>
      <c r="I186" s="107" t="s">
        <v>177</v>
      </c>
      <c r="J186" s="140">
        <v>0</v>
      </c>
      <c r="K186" s="116">
        <v>0</v>
      </c>
      <c r="L186" s="116">
        <v>8</v>
      </c>
      <c r="M186" s="116">
        <v>24</v>
      </c>
      <c r="N186" s="116">
        <f t="shared" si="2"/>
        <v>8</v>
      </c>
      <c r="O186" s="116">
        <v>32</v>
      </c>
      <c r="P186" s="116">
        <v>60</v>
      </c>
    </row>
    <row r="187" spans="1:16" ht="30.6">
      <c r="A187" s="102"/>
      <c r="B187" s="103"/>
      <c r="C187" s="103"/>
      <c r="D187" s="100">
        <v>175</v>
      </c>
      <c r="E187" s="104" t="s">
        <v>166</v>
      </c>
      <c r="F187" s="104" t="s">
        <v>167</v>
      </c>
      <c r="G187" s="107" t="s">
        <v>364</v>
      </c>
      <c r="H187" s="107" t="s">
        <v>169</v>
      </c>
      <c r="I187" s="107" t="s">
        <v>177</v>
      </c>
      <c r="J187" s="140">
        <v>48</v>
      </c>
      <c r="K187" s="116">
        <v>46</v>
      </c>
      <c r="L187" s="116">
        <v>33</v>
      </c>
      <c r="M187" s="116">
        <v>42</v>
      </c>
      <c r="N187" s="116">
        <f t="shared" si="2"/>
        <v>42</v>
      </c>
      <c r="O187" s="116">
        <v>40</v>
      </c>
      <c r="P187" s="116">
        <v>40</v>
      </c>
    </row>
    <row r="188" spans="1:16" ht="30.6">
      <c r="A188" s="102">
        <v>11</v>
      </c>
      <c r="B188" s="103" t="s">
        <v>365</v>
      </c>
      <c r="C188" s="103" t="s">
        <v>325</v>
      </c>
      <c r="D188" s="100">
        <v>176</v>
      </c>
      <c r="E188" s="104" t="s">
        <v>166</v>
      </c>
      <c r="F188" s="104" t="s">
        <v>167</v>
      </c>
      <c r="G188" s="107" t="s">
        <v>263</v>
      </c>
      <c r="H188" s="107" t="s">
        <v>169</v>
      </c>
      <c r="I188" s="107" t="s">
        <v>244</v>
      </c>
      <c r="J188" s="140">
        <v>13</v>
      </c>
      <c r="K188" s="116">
        <v>13</v>
      </c>
      <c r="L188" s="116">
        <v>13</v>
      </c>
      <c r="M188" s="116">
        <v>5</v>
      </c>
      <c r="N188" s="116">
        <f t="shared" si="2"/>
        <v>11</v>
      </c>
      <c r="O188" s="116">
        <v>15</v>
      </c>
      <c r="P188" s="116">
        <v>15</v>
      </c>
    </row>
    <row r="189" spans="1:16" ht="40.799999999999997">
      <c r="A189" s="102">
        <v>11</v>
      </c>
      <c r="B189" s="103" t="s">
        <v>366</v>
      </c>
      <c r="C189" s="103" t="s">
        <v>367</v>
      </c>
      <c r="D189" s="100">
        <v>177</v>
      </c>
      <c r="E189" s="104" t="s">
        <v>166</v>
      </c>
      <c r="F189" s="104" t="s">
        <v>167</v>
      </c>
      <c r="G189" s="107" t="s">
        <v>230</v>
      </c>
      <c r="H189" s="106" t="s">
        <v>169</v>
      </c>
      <c r="I189" s="107" t="s">
        <v>339</v>
      </c>
      <c r="J189" s="140">
        <v>65</v>
      </c>
      <c r="K189" s="116">
        <v>65</v>
      </c>
      <c r="L189" s="116">
        <v>65</v>
      </c>
      <c r="M189" s="116">
        <v>65</v>
      </c>
      <c r="N189" s="116">
        <f t="shared" si="2"/>
        <v>65</v>
      </c>
      <c r="O189" s="116">
        <v>53</v>
      </c>
      <c r="P189" s="116">
        <v>35</v>
      </c>
    </row>
    <row r="190" spans="1:16" ht="40.799999999999997">
      <c r="A190" s="102"/>
      <c r="B190" s="103"/>
      <c r="C190" s="103"/>
      <c r="D190" s="100">
        <v>178</v>
      </c>
      <c r="E190" s="104" t="s">
        <v>166</v>
      </c>
      <c r="F190" s="104" t="s">
        <v>167</v>
      </c>
      <c r="G190" s="107" t="s">
        <v>230</v>
      </c>
      <c r="H190" s="107" t="s">
        <v>169</v>
      </c>
      <c r="I190" s="107" t="s">
        <v>192</v>
      </c>
      <c r="J190" s="140">
        <v>1</v>
      </c>
      <c r="K190" s="116">
        <v>1</v>
      </c>
      <c r="L190" s="116">
        <v>0</v>
      </c>
      <c r="M190" s="116">
        <v>0</v>
      </c>
      <c r="N190" s="116">
        <f t="shared" si="2"/>
        <v>1</v>
      </c>
      <c r="O190" s="116">
        <v>0</v>
      </c>
      <c r="P190" s="116">
        <v>0</v>
      </c>
    </row>
    <row r="191" spans="1:16" ht="40.799999999999997">
      <c r="A191" s="102">
        <v>11</v>
      </c>
      <c r="B191" s="103" t="s">
        <v>368</v>
      </c>
      <c r="C191" s="103" t="s">
        <v>335</v>
      </c>
      <c r="D191" s="100">
        <v>179</v>
      </c>
      <c r="E191" s="104" t="s">
        <v>166</v>
      </c>
      <c r="F191" s="104" t="s">
        <v>167</v>
      </c>
      <c r="G191" s="107" t="s">
        <v>369</v>
      </c>
      <c r="H191" s="107" t="s">
        <v>169</v>
      </c>
      <c r="I191" s="107" t="s">
        <v>227</v>
      </c>
      <c r="J191" s="140">
        <v>85</v>
      </c>
      <c r="K191" s="116">
        <f>85-8</f>
        <v>77</v>
      </c>
      <c r="L191" s="116">
        <v>85</v>
      </c>
      <c r="M191" s="116">
        <f>80+8</f>
        <v>88</v>
      </c>
      <c r="N191" s="116">
        <f t="shared" si="2"/>
        <v>84</v>
      </c>
      <c r="O191" s="116">
        <v>84</v>
      </c>
      <c r="P191" s="116">
        <v>84</v>
      </c>
    </row>
    <row r="192" spans="1:16" ht="30.6">
      <c r="A192" s="102"/>
      <c r="B192" s="103"/>
      <c r="C192" s="103"/>
      <c r="D192" s="100">
        <v>180</v>
      </c>
      <c r="E192" s="104" t="s">
        <v>166</v>
      </c>
      <c r="F192" s="105" t="s">
        <v>174</v>
      </c>
      <c r="G192" s="107" t="s">
        <v>370</v>
      </c>
      <c r="H192" s="107" t="s">
        <v>175</v>
      </c>
      <c r="I192" s="107" t="s">
        <v>199</v>
      </c>
      <c r="J192" s="140">
        <v>69</v>
      </c>
      <c r="K192" s="116">
        <v>65</v>
      </c>
      <c r="L192" s="116">
        <v>81</v>
      </c>
      <c r="M192" s="116">
        <v>108</v>
      </c>
      <c r="N192" s="116">
        <f t="shared" si="2"/>
        <v>81</v>
      </c>
      <c r="O192" s="116">
        <v>98</v>
      </c>
      <c r="P192" s="116">
        <v>98</v>
      </c>
    </row>
    <row r="193" spans="1:16" ht="30.6">
      <c r="A193" s="102">
        <v>11</v>
      </c>
      <c r="B193" s="103" t="s">
        <v>371</v>
      </c>
      <c r="C193" s="103" t="s">
        <v>372</v>
      </c>
      <c r="D193" s="100">
        <v>181</v>
      </c>
      <c r="E193" s="104" t="s">
        <v>166</v>
      </c>
      <c r="F193" s="104" t="s">
        <v>167</v>
      </c>
      <c r="G193" s="107" t="s">
        <v>373</v>
      </c>
      <c r="H193" s="106" t="s">
        <v>169</v>
      </c>
      <c r="I193" s="107" t="s">
        <v>199</v>
      </c>
      <c r="J193" s="140">
        <v>13</v>
      </c>
      <c r="K193" s="116">
        <v>11</v>
      </c>
      <c r="L193" s="116">
        <v>12</v>
      </c>
      <c r="M193" s="116">
        <v>20</v>
      </c>
      <c r="N193" s="116">
        <f t="shared" si="2"/>
        <v>14</v>
      </c>
      <c r="O193" s="116">
        <v>14</v>
      </c>
      <c r="P193" s="116">
        <v>14</v>
      </c>
    </row>
    <row r="194" spans="1:16" ht="30.6">
      <c r="A194" s="102"/>
      <c r="B194" s="103"/>
      <c r="C194" s="103"/>
      <c r="D194" s="100">
        <v>182</v>
      </c>
      <c r="E194" s="104" t="s">
        <v>166</v>
      </c>
      <c r="F194" s="104" t="s">
        <v>174</v>
      </c>
      <c r="G194" s="107" t="s">
        <v>201</v>
      </c>
      <c r="H194" s="107" t="s">
        <v>175</v>
      </c>
      <c r="I194" s="107" t="s">
        <v>229</v>
      </c>
      <c r="J194" s="140">
        <f>21-1</f>
        <v>20</v>
      </c>
      <c r="K194" s="116">
        <f>21-1</f>
        <v>20</v>
      </c>
      <c r="L194" s="116">
        <v>0</v>
      </c>
      <c r="M194" s="116">
        <f>0+1+1</f>
        <v>2</v>
      </c>
      <c r="N194" s="116">
        <f t="shared" si="2"/>
        <v>11</v>
      </c>
      <c r="O194" s="116">
        <v>0</v>
      </c>
      <c r="P194" s="116">
        <v>0</v>
      </c>
    </row>
    <row r="195" spans="1:16" ht="30.6">
      <c r="A195" s="102"/>
      <c r="B195" s="103"/>
      <c r="C195" s="103"/>
      <c r="D195" s="100">
        <v>183</v>
      </c>
      <c r="E195" s="104" t="s">
        <v>166</v>
      </c>
      <c r="F195" s="104" t="s">
        <v>174</v>
      </c>
      <c r="G195" s="107" t="s">
        <v>370</v>
      </c>
      <c r="H195" s="107" t="s">
        <v>175</v>
      </c>
      <c r="I195" s="107" t="s">
        <v>229</v>
      </c>
      <c r="J195" s="140">
        <f>54-3</f>
        <v>51</v>
      </c>
      <c r="K195" s="116">
        <f>54-3</f>
        <v>51</v>
      </c>
      <c r="L195" s="116">
        <v>64</v>
      </c>
      <c r="M195" s="116">
        <f>81+3+3</f>
        <v>87</v>
      </c>
      <c r="N195" s="116">
        <v>65</v>
      </c>
      <c r="O195" s="116">
        <v>80</v>
      </c>
      <c r="P195" s="116">
        <v>101</v>
      </c>
    </row>
    <row r="196" spans="1:16" ht="30.6">
      <c r="A196" s="102">
        <v>11</v>
      </c>
      <c r="B196" s="103" t="s">
        <v>374</v>
      </c>
      <c r="C196" s="103" t="s">
        <v>337</v>
      </c>
      <c r="D196" s="100">
        <v>184</v>
      </c>
      <c r="E196" s="104" t="s">
        <v>166</v>
      </c>
      <c r="F196" s="104" t="s">
        <v>167</v>
      </c>
      <c r="G196" s="107" t="s">
        <v>375</v>
      </c>
      <c r="H196" s="107" t="s">
        <v>169</v>
      </c>
      <c r="I196" s="107" t="s">
        <v>321</v>
      </c>
      <c r="J196" s="140">
        <v>37</v>
      </c>
      <c r="K196" s="116">
        <v>33</v>
      </c>
      <c r="L196" s="116">
        <v>32</v>
      </c>
      <c r="M196" s="116">
        <v>32</v>
      </c>
      <c r="N196" s="116">
        <f t="shared" ref="N196:N384" si="3">ROUND((J196+K196+L196+M196)/4,0)</f>
        <v>34</v>
      </c>
      <c r="O196" s="116">
        <v>31</v>
      </c>
      <c r="P196" s="116">
        <v>31</v>
      </c>
    </row>
    <row r="197" spans="1:16" ht="30.6">
      <c r="A197" s="102">
        <v>11</v>
      </c>
      <c r="B197" s="103" t="s">
        <v>376</v>
      </c>
      <c r="C197" s="103" t="s">
        <v>350</v>
      </c>
      <c r="D197" s="100">
        <v>185</v>
      </c>
      <c r="E197" s="104" t="s">
        <v>166</v>
      </c>
      <c r="F197" s="104" t="s">
        <v>167</v>
      </c>
      <c r="G197" s="107" t="s">
        <v>213</v>
      </c>
      <c r="H197" s="107" t="s">
        <v>169</v>
      </c>
      <c r="I197" s="107" t="s">
        <v>214</v>
      </c>
      <c r="J197" s="140">
        <v>42</v>
      </c>
      <c r="K197" s="116">
        <f>42-4</f>
        <v>38</v>
      </c>
      <c r="L197" s="116">
        <v>45</v>
      </c>
      <c r="M197" s="116">
        <f>52+4</f>
        <v>56</v>
      </c>
      <c r="N197" s="116">
        <f t="shared" si="3"/>
        <v>45</v>
      </c>
      <c r="O197" s="116">
        <v>45</v>
      </c>
      <c r="P197" s="116">
        <v>45</v>
      </c>
    </row>
    <row r="198" spans="1:16" ht="30.6">
      <c r="A198" s="102">
        <v>11</v>
      </c>
      <c r="B198" s="103" t="s">
        <v>377</v>
      </c>
      <c r="C198" s="103" t="s">
        <v>378</v>
      </c>
      <c r="D198" s="100">
        <v>186</v>
      </c>
      <c r="E198" s="104" t="s">
        <v>166</v>
      </c>
      <c r="F198" s="104" t="s">
        <v>167</v>
      </c>
      <c r="G198" s="107" t="s">
        <v>260</v>
      </c>
      <c r="H198" s="107" t="s">
        <v>169</v>
      </c>
      <c r="I198" s="107" t="s">
        <v>187</v>
      </c>
      <c r="J198" s="140">
        <v>10</v>
      </c>
      <c r="K198" s="116">
        <v>10</v>
      </c>
      <c r="L198" s="116">
        <v>5</v>
      </c>
      <c r="M198" s="116">
        <v>16</v>
      </c>
      <c r="N198" s="116">
        <f t="shared" si="3"/>
        <v>10</v>
      </c>
      <c r="O198" s="116">
        <v>15</v>
      </c>
      <c r="P198" s="116">
        <v>17</v>
      </c>
    </row>
    <row r="199" spans="1:16" ht="30.6">
      <c r="A199" s="102"/>
      <c r="B199" s="103"/>
      <c r="C199" s="103"/>
      <c r="D199" s="100">
        <v>187</v>
      </c>
      <c r="E199" s="104" t="s">
        <v>166</v>
      </c>
      <c r="F199" s="104" t="s">
        <v>167</v>
      </c>
      <c r="G199" s="107" t="s">
        <v>260</v>
      </c>
      <c r="H199" s="106" t="s">
        <v>169</v>
      </c>
      <c r="I199" s="107" t="s">
        <v>283</v>
      </c>
      <c r="J199" s="140">
        <v>30</v>
      </c>
      <c r="K199" s="116">
        <v>29</v>
      </c>
      <c r="L199" s="116">
        <v>34</v>
      </c>
      <c r="M199" s="116">
        <v>43</v>
      </c>
      <c r="N199" s="116">
        <f t="shared" si="3"/>
        <v>34</v>
      </c>
      <c r="O199" s="116">
        <v>42</v>
      </c>
      <c r="P199" s="116">
        <v>45</v>
      </c>
    </row>
    <row r="200" spans="1:16" ht="30.6">
      <c r="A200" s="102"/>
      <c r="B200" s="103"/>
      <c r="C200" s="103"/>
      <c r="D200" s="100">
        <v>188</v>
      </c>
      <c r="E200" s="104" t="s">
        <v>166</v>
      </c>
      <c r="F200" s="104" t="s">
        <v>167</v>
      </c>
      <c r="G200" s="107" t="s">
        <v>260</v>
      </c>
      <c r="H200" s="107" t="s">
        <v>169</v>
      </c>
      <c r="I200" s="107" t="s">
        <v>261</v>
      </c>
      <c r="J200" s="140">
        <v>14</v>
      </c>
      <c r="K200" s="116">
        <f>14-1</f>
        <v>13</v>
      </c>
      <c r="L200" s="116">
        <v>0</v>
      </c>
      <c r="M200" s="116">
        <f>15+1</f>
        <v>16</v>
      </c>
      <c r="N200" s="116">
        <f t="shared" si="3"/>
        <v>11</v>
      </c>
      <c r="O200" s="116">
        <v>23</v>
      </c>
      <c r="P200" s="116">
        <v>15</v>
      </c>
    </row>
    <row r="201" spans="1:16" ht="30.6">
      <c r="A201" s="102"/>
      <c r="B201" s="103"/>
      <c r="C201" s="103"/>
      <c r="D201" s="100">
        <v>189</v>
      </c>
      <c r="E201" s="104" t="s">
        <v>166</v>
      </c>
      <c r="F201" s="104" t="s">
        <v>167</v>
      </c>
      <c r="G201" s="107" t="s">
        <v>260</v>
      </c>
      <c r="H201" s="107" t="s">
        <v>169</v>
      </c>
      <c r="I201" s="107" t="s">
        <v>188</v>
      </c>
      <c r="J201" s="140">
        <v>46</v>
      </c>
      <c r="K201" s="116">
        <v>45</v>
      </c>
      <c r="L201" s="116">
        <v>33</v>
      </c>
      <c r="M201" s="116">
        <v>48</v>
      </c>
      <c r="N201" s="116">
        <f t="shared" si="3"/>
        <v>43</v>
      </c>
      <c r="O201" s="116">
        <v>43</v>
      </c>
      <c r="P201" s="116">
        <v>43</v>
      </c>
    </row>
    <row r="202" spans="1:16" ht="40.799999999999997">
      <c r="A202" s="102"/>
      <c r="B202" s="103"/>
      <c r="C202" s="103"/>
      <c r="D202" s="100">
        <v>190</v>
      </c>
      <c r="E202" s="104" t="s">
        <v>166</v>
      </c>
      <c r="F202" s="105" t="s">
        <v>174</v>
      </c>
      <c r="G202" s="107" t="s">
        <v>355</v>
      </c>
      <c r="H202" s="107" t="s">
        <v>175</v>
      </c>
      <c r="I202" s="107" t="s">
        <v>186</v>
      </c>
      <c r="J202" s="140">
        <v>22</v>
      </c>
      <c r="K202" s="116">
        <v>22</v>
      </c>
      <c r="L202" s="116">
        <v>8</v>
      </c>
      <c r="M202" s="116">
        <v>25</v>
      </c>
      <c r="N202" s="116">
        <f t="shared" si="3"/>
        <v>19</v>
      </c>
      <c r="O202" s="116">
        <v>25</v>
      </c>
      <c r="P202" s="116">
        <v>25</v>
      </c>
    </row>
    <row r="203" spans="1:16" ht="30.6">
      <c r="A203" s="102"/>
      <c r="B203" s="103"/>
      <c r="C203" s="103"/>
      <c r="D203" s="100">
        <v>191</v>
      </c>
      <c r="E203" s="104" t="s">
        <v>166</v>
      </c>
      <c r="F203" s="104" t="s">
        <v>174</v>
      </c>
      <c r="G203" s="107" t="s">
        <v>355</v>
      </c>
      <c r="H203" s="107" t="s">
        <v>175</v>
      </c>
      <c r="I203" s="107" t="s">
        <v>333</v>
      </c>
      <c r="J203" s="140">
        <f>45-3</f>
        <v>42</v>
      </c>
      <c r="K203" s="116">
        <f>45-3</f>
        <v>42</v>
      </c>
      <c r="L203" s="116">
        <v>53</v>
      </c>
      <c r="M203" s="116">
        <f>70+3+3</f>
        <v>76</v>
      </c>
      <c r="N203" s="116">
        <f t="shared" si="3"/>
        <v>53</v>
      </c>
      <c r="O203" s="116">
        <v>78</v>
      </c>
      <c r="P203" s="116">
        <v>85</v>
      </c>
    </row>
    <row r="204" spans="1:16" ht="30.6">
      <c r="A204" s="102">
        <v>11</v>
      </c>
      <c r="B204" s="103" t="s">
        <v>379</v>
      </c>
      <c r="C204" s="103" t="s">
        <v>380</v>
      </c>
      <c r="D204" s="100">
        <v>192</v>
      </c>
      <c r="E204" s="104" t="s">
        <v>166</v>
      </c>
      <c r="F204" s="104" t="s">
        <v>167</v>
      </c>
      <c r="G204" s="107" t="s">
        <v>355</v>
      </c>
      <c r="H204" s="107" t="s">
        <v>169</v>
      </c>
      <c r="I204" s="107" t="s">
        <v>333</v>
      </c>
      <c r="J204" s="140">
        <f>25-2</f>
        <v>23</v>
      </c>
      <c r="K204" s="116">
        <f>16-1</f>
        <v>15</v>
      </c>
      <c r="L204" s="116">
        <v>19</v>
      </c>
      <c r="M204" s="116">
        <f>24+2+1</f>
        <v>27</v>
      </c>
      <c r="N204" s="116">
        <f t="shared" si="3"/>
        <v>21</v>
      </c>
      <c r="O204" s="116">
        <v>20</v>
      </c>
      <c r="P204" s="116">
        <v>20</v>
      </c>
    </row>
    <row r="205" spans="1:16" ht="30.6">
      <c r="A205" s="102"/>
      <c r="B205" s="103"/>
      <c r="C205" s="103"/>
      <c r="D205" s="100">
        <v>193</v>
      </c>
      <c r="E205" s="104" t="s">
        <v>166</v>
      </c>
      <c r="F205" s="104" t="s">
        <v>167</v>
      </c>
      <c r="G205" s="107" t="s">
        <v>355</v>
      </c>
      <c r="H205" s="107" t="s">
        <v>169</v>
      </c>
      <c r="I205" s="107" t="s">
        <v>172</v>
      </c>
      <c r="J205" s="140">
        <f>18+5</f>
        <v>23</v>
      </c>
      <c r="K205" s="116">
        <f>17+6</f>
        <v>23</v>
      </c>
      <c r="L205" s="116">
        <v>17</v>
      </c>
      <c r="M205" s="116">
        <f>16-5-6</f>
        <v>5</v>
      </c>
      <c r="N205" s="116">
        <f t="shared" si="3"/>
        <v>17</v>
      </c>
      <c r="O205" s="116">
        <v>8</v>
      </c>
      <c r="P205" s="116">
        <v>0</v>
      </c>
    </row>
    <row r="206" spans="1:16" ht="30.6">
      <c r="A206" s="102"/>
      <c r="B206" s="103"/>
      <c r="C206" s="103"/>
      <c r="D206" s="100">
        <v>194</v>
      </c>
      <c r="E206" s="104" t="s">
        <v>166</v>
      </c>
      <c r="F206" s="104" t="s">
        <v>167</v>
      </c>
      <c r="G206" s="107" t="s">
        <v>355</v>
      </c>
      <c r="H206" s="107" t="s">
        <v>169</v>
      </c>
      <c r="I206" s="107" t="s">
        <v>356</v>
      </c>
      <c r="J206" s="140">
        <v>58</v>
      </c>
      <c r="K206" s="116">
        <f>58-1</f>
        <v>57</v>
      </c>
      <c r="L206" s="116">
        <v>45</v>
      </c>
      <c r="M206" s="116">
        <f>55+1</f>
        <v>56</v>
      </c>
      <c r="N206" s="116">
        <f t="shared" si="3"/>
        <v>54</v>
      </c>
      <c r="O206" s="116">
        <v>54</v>
      </c>
      <c r="P206" s="116">
        <v>44</v>
      </c>
    </row>
    <row r="207" spans="1:16" ht="30.6">
      <c r="A207" s="102"/>
      <c r="B207" s="103"/>
      <c r="C207" s="103"/>
      <c r="D207" s="100">
        <v>195</v>
      </c>
      <c r="E207" s="104" t="s">
        <v>166</v>
      </c>
      <c r="F207" s="104" t="s">
        <v>167</v>
      </c>
      <c r="G207" s="107" t="s">
        <v>355</v>
      </c>
      <c r="H207" s="107" t="s">
        <v>169</v>
      </c>
      <c r="I207" s="107" t="s">
        <v>179</v>
      </c>
      <c r="J207" s="140">
        <v>116</v>
      </c>
      <c r="K207" s="116">
        <v>114</v>
      </c>
      <c r="L207" s="116">
        <v>78</v>
      </c>
      <c r="M207" s="116">
        <v>107</v>
      </c>
      <c r="N207" s="116">
        <f t="shared" si="3"/>
        <v>104</v>
      </c>
      <c r="O207" s="116">
        <v>104</v>
      </c>
      <c r="P207" s="116">
        <v>104</v>
      </c>
    </row>
    <row r="208" spans="1:16" ht="30.6">
      <c r="A208" s="102"/>
      <c r="B208" s="103"/>
      <c r="C208" s="103"/>
      <c r="D208" s="100">
        <v>196</v>
      </c>
      <c r="E208" s="104" t="s">
        <v>166</v>
      </c>
      <c r="F208" s="104" t="s">
        <v>167</v>
      </c>
      <c r="G208" s="107" t="s">
        <v>355</v>
      </c>
      <c r="H208" s="107" t="s">
        <v>169</v>
      </c>
      <c r="I208" s="107" t="s">
        <v>170</v>
      </c>
      <c r="J208" s="140">
        <f>59+4</f>
        <v>63</v>
      </c>
      <c r="K208" s="116">
        <v>59</v>
      </c>
      <c r="L208" s="116">
        <v>44</v>
      </c>
      <c r="M208" s="116">
        <f>54-4</f>
        <v>50</v>
      </c>
      <c r="N208" s="116">
        <f t="shared" si="3"/>
        <v>54</v>
      </c>
      <c r="O208" s="116">
        <v>52</v>
      </c>
      <c r="P208" s="116">
        <v>52</v>
      </c>
    </row>
    <row r="209" spans="1:16" ht="30.6">
      <c r="A209" s="102"/>
      <c r="B209" s="103"/>
      <c r="C209" s="103"/>
      <c r="D209" s="100">
        <v>197</v>
      </c>
      <c r="E209" s="104" t="s">
        <v>166</v>
      </c>
      <c r="F209" s="104" t="s">
        <v>167</v>
      </c>
      <c r="G209" s="107" t="s">
        <v>355</v>
      </c>
      <c r="H209" s="106" t="s">
        <v>169</v>
      </c>
      <c r="I209" s="107" t="s">
        <v>358</v>
      </c>
      <c r="J209" s="140">
        <v>32</v>
      </c>
      <c r="K209" s="116">
        <v>30</v>
      </c>
      <c r="L209" s="116">
        <v>27</v>
      </c>
      <c r="M209" s="116">
        <v>34</v>
      </c>
      <c r="N209" s="116">
        <f t="shared" si="3"/>
        <v>31</v>
      </c>
      <c r="O209" s="116">
        <v>28</v>
      </c>
      <c r="P209" s="116">
        <v>28</v>
      </c>
    </row>
    <row r="210" spans="1:16" ht="30.6">
      <c r="A210" s="102"/>
      <c r="B210" s="103"/>
      <c r="C210" s="103"/>
      <c r="D210" s="100">
        <v>198</v>
      </c>
      <c r="E210" s="104" t="s">
        <v>166</v>
      </c>
      <c r="F210" s="104" t="s">
        <v>174</v>
      </c>
      <c r="G210" s="107" t="s">
        <v>355</v>
      </c>
      <c r="H210" s="106" t="s">
        <v>169</v>
      </c>
      <c r="I210" s="107" t="s">
        <v>381</v>
      </c>
      <c r="J210" s="140">
        <v>42</v>
      </c>
      <c r="K210" s="116">
        <v>42</v>
      </c>
      <c r="L210" s="116">
        <v>32</v>
      </c>
      <c r="M210" s="116">
        <v>40</v>
      </c>
      <c r="N210" s="116">
        <f t="shared" si="3"/>
        <v>39</v>
      </c>
      <c r="O210" s="116">
        <v>40</v>
      </c>
      <c r="P210" s="116">
        <v>42</v>
      </c>
    </row>
    <row r="211" spans="1:16" ht="30.6">
      <c r="A211" s="102"/>
      <c r="B211" s="103"/>
      <c r="C211" s="103"/>
      <c r="D211" s="100">
        <v>199</v>
      </c>
      <c r="E211" s="104" t="s">
        <v>166</v>
      </c>
      <c r="F211" s="104" t="s">
        <v>167</v>
      </c>
      <c r="G211" s="107" t="s">
        <v>355</v>
      </c>
      <c r="H211" s="107" t="s">
        <v>169</v>
      </c>
      <c r="I211" s="107" t="s">
        <v>187</v>
      </c>
      <c r="J211" s="140">
        <v>37</v>
      </c>
      <c r="K211" s="116">
        <v>34</v>
      </c>
      <c r="L211" s="116">
        <v>28</v>
      </c>
      <c r="M211" s="116">
        <v>26</v>
      </c>
      <c r="N211" s="116">
        <f t="shared" si="3"/>
        <v>31</v>
      </c>
      <c r="O211" s="116">
        <v>20</v>
      </c>
      <c r="P211" s="116">
        <v>10</v>
      </c>
    </row>
    <row r="212" spans="1:16" ht="40.799999999999997">
      <c r="A212" s="102"/>
      <c r="B212" s="103"/>
      <c r="C212" s="103"/>
      <c r="D212" s="100">
        <v>200</v>
      </c>
      <c r="E212" s="104" t="s">
        <v>166</v>
      </c>
      <c r="F212" s="104" t="s">
        <v>167</v>
      </c>
      <c r="G212" s="107" t="s">
        <v>260</v>
      </c>
      <c r="H212" s="107" t="s">
        <v>169</v>
      </c>
      <c r="I212" s="107" t="s">
        <v>186</v>
      </c>
      <c r="J212" s="140">
        <f>15-2</f>
        <v>13</v>
      </c>
      <c r="K212" s="116">
        <f>15-2</f>
        <v>13</v>
      </c>
      <c r="L212" s="116">
        <v>0</v>
      </c>
      <c r="M212" s="116">
        <f>0+2+2</f>
        <v>4</v>
      </c>
      <c r="N212" s="116">
        <f t="shared" si="3"/>
        <v>8</v>
      </c>
      <c r="O212" s="116">
        <v>5</v>
      </c>
      <c r="P212" s="116">
        <v>15</v>
      </c>
    </row>
    <row r="213" spans="1:16" ht="30.6">
      <c r="A213" s="102">
        <v>11</v>
      </c>
      <c r="B213" s="103" t="s">
        <v>382</v>
      </c>
      <c r="C213" s="103" t="s">
        <v>380</v>
      </c>
      <c r="D213" s="100">
        <v>201</v>
      </c>
      <c r="E213" s="104" t="s">
        <v>166</v>
      </c>
      <c r="F213" s="104" t="s">
        <v>167</v>
      </c>
      <c r="G213" s="107" t="s">
        <v>383</v>
      </c>
      <c r="H213" s="106" t="s">
        <v>169</v>
      </c>
      <c r="I213" s="107" t="s">
        <v>358</v>
      </c>
      <c r="J213" s="140">
        <v>22</v>
      </c>
      <c r="K213" s="116">
        <v>17</v>
      </c>
      <c r="L213" s="116">
        <v>21</v>
      </c>
      <c r="M213" s="116">
        <v>23</v>
      </c>
      <c r="N213" s="116">
        <f t="shared" si="3"/>
        <v>21</v>
      </c>
      <c r="O213" s="116">
        <v>18</v>
      </c>
      <c r="P213" s="116">
        <v>18</v>
      </c>
    </row>
    <row r="214" spans="1:16" ht="40.799999999999997">
      <c r="A214" s="102"/>
      <c r="B214" s="103"/>
      <c r="C214" s="103"/>
      <c r="D214" s="100">
        <v>202</v>
      </c>
      <c r="E214" s="104" t="s">
        <v>166</v>
      </c>
      <c r="F214" s="104" t="s">
        <v>167</v>
      </c>
      <c r="G214" s="107" t="s">
        <v>243</v>
      </c>
      <c r="H214" s="107" t="s">
        <v>169</v>
      </c>
      <c r="I214" s="107" t="s">
        <v>244</v>
      </c>
      <c r="J214" s="140">
        <v>70</v>
      </c>
      <c r="K214" s="116">
        <v>69</v>
      </c>
      <c r="L214" s="116">
        <f>53+4</f>
        <v>57</v>
      </c>
      <c r="M214" s="116">
        <v>68</v>
      </c>
      <c r="N214" s="116">
        <f t="shared" si="3"/>
        <v>66</v>
      </c>
      <c r="O214" s="116">
        <v>66</v>
      </c>
      <c r="P214" s="116">
        <v>66</v>
      </c>
    </row>
    <row r="215" spans="1:16" ht="30.6">
      <c r="A215" s="102">
        <v>11</v>
      </c>
      <c r="B215" s="103" t="s">
        <v>384</v>
      </c>
      <c r="C215" s="103" t="s">
        <v>385</v>
      </c>
      <c r="D215" s="100">
        <v>203</v>
      </c>
      <c r="E215" s="104" t="s">
        <v>166</v>
      </c>
      <c r="F215" s="104" t="s">
        <v>167</v>
      </c>
      <c r="G215" s="107" t="s">
        <v>286</v>
      </c>
      <c r="H215" s="107" t="s">
        <v>175</v>
      </c>
      <c r="I215" s="107" t="s">
        <v>226</v>
      </c>
      <c r="J215" s="140">
        <v>40</v>
      </c>
      <c r="K215" s="116">
        <v>40</v>
      </c>
      <c r="L215" s="116">
        <v>21</v>
      </c>
      <c r="M215" s="116">
        <v>20</v>
      </c>
      <c r="N215" s="116">
        <f t="shared" si="3"/>
        <v>30</v>
      </c>
      <c r="O215" s="116">
        <v>10</v>
      </c>
      <c r="P215" s="116">
        <v>30</v>
      </c>
    </row>
    <row r="216" spans="1:16" ht="40.799999999999997">
      <c r="A216" s="102"/>
      <c r="B216" s="103"/>
      <c r="C216" s="103"/>
      <c r="D216" s="100">
        <v>204</v>
      </c>
      <c r="E216" s="104" t="s">
        <v>341</v>
      </c>
      <c r="F216" s="105" t="s">
        <v>174</v>
      </c>
      <c r="G216" s="107" t="s">
        <v>386</v>
      </c>
      <c r="H216" s="107" t="s">
        <v>175</v>
      </c>
      <c r="I216" s="107" t="s">
        <v>187</v>
      </c>
      <c r="J216" s="140">
        <v>22</v>
      </c>
      <c r="K216" s="116">
        <v>22</v>
      </c>
      <c r="L216" s="116">
        <v>20</v>
      </c>
      <c r="M216" s="116">
        <v>20</v>
      </c>
      <c r="N216" s="116">
        <f t="shared" si="3"/>
        <v>21</v>
      </c>
      <c r="O216" s="116">
        <v>18</v>
      </c>
      <c r="P216" s="116">
        <v>20</v>
      </c>
    </row>
    <row r="217" spans="1:16" ht="40.799999999999997">
      <c r="A217" s="102"/>
      <c r="B217" s="103"/>
      <c r="C217" s="103"/>
      <c r="D217" s="100">
        <v>205</v>
      </c>
      <c r="E217" s="104" t="s">
        <v>341</v>
      </c>
      <c r="F217" s="105" t="s">
        <v>174</v>
      </c>
      <c r="G217" s="107" t="s">
        <v>387</v>
      </c>
      <c r="H217" s="107" t="s">
        <v>175</v>
      </c>
      <c r="I217" s="107" t="s">
        <v>188</v>
      </c>
      <c r="J217" s="116">
        <v>0</v>
      </c>
      <c r="K217" s="116">
        <v>0</v>
      </c>
      <c r="L217" s="116">
        <v>8</v>
      </c>
      <c r="M217" s="116">
        <v>25</v>
      </c>
      <c r="N217" s="116">
        <f t="shared" si="3"/>
        <v>8</v>
      </c>
      <c r="O217" s="116">
        <v>0</v>
      </c>
      <c r="P217" s="116">
        <v>0</v>
      </c>
    </row>
    <row r="218" spans="1:16" ht="40.799999999999997">
      <c r="A218" s="102">
        <v>11</v>
      </c>
      <c r="B218" s="103" t="s">
        <v>388</v>
      </c>
      <c r="C218" s="103" t="s">
        <v>389</v>
      </c>
      <c r="D218" s="100">
        <v>206</v>
      </c>
      <c r="E218" s="104" t="s">
        <v>341</v>
      </c>
      <c r="F218" s="105" t="s">
        <v>174</v>
      </c>
      <c r="G218" s="107" t="s">
        <v>390</v>
      </c>
      <c r="H218" s="107" t="s">
        <v>175</v>
      </c>
      <c r="I218" s="107" t="s">
        <v>172</v>
      </c>
      <c r="J218" s="140">
        <f>22-1</f>
        <v>21</v>
      </c>
      <c r="K218" s="116">
        <f>22-1</f>
        <v>21</v>
      </c>
      <c r="L218" s="116">
        <v>0</v>
      </c>
      <c r="M218" s="116">
        <f>0+1+1</f>
        <v>2</v>
      </c>
      <c r="N218" s="116">
        <f t="shared" si="3"/>
        <v>11</v>
      </c>
      <c r="O218" s="116">
        <v>0</v>
      </c>
      <c r="P218" s="116">
        <v>0</v>
      </c>
    </row>
    <row r="219" spans="1:16" ht="40.799999999999997">
      <c r="A219" s="102"/>
      <c r="B219" s="103"/>
      <c r="C219" s="103"/>
      <c r="D219" s="100">
        <v>207</v>
      </c>
      <c r="E219" s="104" t="s">
        <v>341</v>
      </c>
      <c r="F219" s="105" t="s">
        <v>174</v>
      </c>
      <c r="G219" s="107" t="s">
        <v>391</v>
      </c>
      <c r="H219" s="107" t="s">
        <v>175</v>
      </c>
      <c r="I219" s="107" t="s">
        <v>188</v>
      </c>
      <c r="J219" s="140">
        <v>25</v>
      </c>
      <c r="K219" s="116">
        <v>25</v>
      </c>
      <c r="L219" s="116">
        <v>33</v>
      </c>
      <c r="M219" s="116">
        <v>50</v>
      </c>
      <c r="N219" s="116">
        <f t="shared" si="3"/>
        <v>33</v>
      </c>
      <c r="O219" s="116">
        <v>50</v>
      </c>
      <c r="P219" s="116">
        <v>50</v>
      </c>
    </row>
    <row r="220" spans="1:16" ht="40.799999999999997">
      <c r="A220" s="102"/>
      <c r="B220" s="103"/>
      <c r="C220" s="103"/>
      <c r="D220" s="100">
        <v>208</v>
      </c>
      <c r="E220" s="104" t="s">
        <v>341</v>
      </c>
      <c r="F220" s="105" t="s">
        <v>174</v>
      </c>
      <c r="G220" s="107" t="s">
        <v>392</v>
      </c>
      <c r="H220" s="107" t="s">
        <v>175</v>
      </c>
      <c r="I220" s="107" t="s">
        <v>188</v>
      </c>
      <c r="J220" s="140">
        <v>25</v>
      </c>
      <c r="K220" s="116">
        <v>25</v>
      </c>
      <c r="L220" s="116">
        <v>25</v>
      </c>
      <c r="M220" s="116">
        <v>25</v>
      </c>
      <c r="N220" s="116">
        <f t="shared" si="3"/>
        <v>25</v>
      </c>
      <c r="O220" s="116">
        <v>25</v>
      </c>
      <c r="P220" s="116">
        <v>25</v>
      </c>
    </row>
    <row r="221" spans="1:16" ht="40.799999999999997">
      <c r="A221" s="102"/>
      <c r="B221" s="103"/>
      <c r="C221" s="103"/>
      <c r="D221" s="100">
        <v>209</v>
      </c>
      <c r="E221" s="104" t="s">
        <v>341</v>
      </c>
      <c r="F221" s="105" t="s">
        <v>174</v>
      </c>
      <c r="G221" s="107" t="s">
        <v>393</v>
      </c>
      <c r="H221" s="107" t="s">
        <v>175</v>
      </c>
      <c r="I221" s="107" t="s">
        <v>188</v>
      </c>
      <c r="J221" s="140">
        <v>25</v>
      </c>
      <c r="K221" s="116">
        <v>25</v>
      </c>
      <c r="L221" s="116">
        <v>33</v>
      </c>
      <c r="M221" s="116">
        <v>50</v>
      </c>
      <c r="N221" s="116">
        <f t="shared" si="3"/>
        <v>33</v>
      </c>
      <c r="O221" s="116">
        <v>50</v>
      </c>
      <c r="P221" s="116">
        <v>50</v>
      </c>
    </row>
    <row r="222" spans="1:16" ht="40.799999999999997">
      <c r="A222" s="102"/>
      <c r="B222" s="103"/>
      <c r="C222" s="103"/>
      <c r="D222" s="100">
        <v>210</v>
      </c>
      <c r="E222" s="104" t="s">
        <v>341</v>
      </c>
      <c r="F222" s="105" t="s">
        <v>174</v>
      </c>
      <c r="G222" s="107" t="s">
        <v>394</v>
      </c>
      <c r="H222" s="107" t="s">
        <v>175</v>
      </c>
      <c r="I222" s="107" t="s">
        <v>188</v>
      </c>
      <c r="J222" s="140">
        <v>98</v>
      </c>
      <c r="K222" s="116">
        <v>95</v>
      </c>
      <c r="L222" s="116">
        <v>83</v>
      </c>
      <c r="M222" s="116">
        <v>100</v>
      </c>
      <c r="N222" s="116">
        <f t="shared" si="3"/>
        <v>94</v>
      </c>
      <c r="O222" s="116">
        <v>94</v>
      </c>
      <c r="P222" s="116">
        <v>94</v>
      </c>
    </row>
    <row r="223" spans="1:16" ht="40.799999999999997">
      <c r="A223" s="102"/>
      <c r="B223" s="103"/>
      <c r="C223" s="103"/>
      <c r="D223" s="100">
        <v>211</v>
      </c>
      <c r="E223" s="104" t="s">
        <v>341</v>
      </c>
      <c r="F223" s="105" t="s">
        <v>174</v>
      </c>
      <c r="G223" s="107" t="s">
        <v>361</v>
      </c>
      <c r="H223" s="107" t="s">
        <v>175</v>
      </c>
      <c r="I223" s="107" t="s">
        <v>179</v>
      </c>
      <c r="J223" s="140">
        <v>40</v>
      </c>
      <c r="K223" s="116">
        <v>39</v>
      </c>
      <c r="L223" s="116">
        <v>51</v>
      </c>
      <c r="M223" s="116">
        <v>78</v>
      </c>
      <c r="N223" s="116">
        <f t="shared" si="3"/>
        <v>52</v>
      </c>
      <c r="O223" s="116">
        <v>52</v>
      </c>
      <c r="P223" s="116">
        <v>52</v>
      </c>
    </row>
    <row r="224" spans="1:16" ht="40.799999999999997">
      <c r="A224" s="102">
        <v>11</v>
      </c>
      <c r="B224" s="103" t="s">
        <v>395</v>
      </c>
      <c r="C224" s="103" t="s">
        <v>396</v>
      </c>
      <c r="D224" s="100">
        <v>212</v>
      </c>
      <c r="E224" s="104" t="s">
        <v>341</v>
      </c>
      <c r="F224" s="105" t="s">
        <v>174</v>
      </c>
      <c r="G224" s="107" t="s">
        <v>397</v>
      </c>
      <c r="H224" s="107" t="s">
        <v>175</v>
      </c>
      <c r="I224" s="107" t="s">
        <v>179</v>
      </c>
      <c r="J224" s="140">
        <v>88</v>
      </c>
      <c r="K224" s="116">
        <v>85</v>
      </c>
      <c r="L224" s="116">
        <v>70</v>
      </c>
      <c r="M224" s="116">
        <v>80</v>
      </c>
      <c r="N224" s="116">
        <f t="shared" si="3"/>
        <v>81</v>
      </c>
      <c r="O224" s="116">
        <v>81</v>
      </c>
      <c r="P224" s="116">
        <v>81</v>
      </c>
    </row>
    <row r="225" spans="1:16" ht="40.799999999999997">
      <c r="A225" s="102"/>
      <c r="B225" s="103"/>
      <c r="C225" s="103"/>
      <c r="D225" s="100">
        <v>213</v>
      </c>
      <c r="E225" s="104" t="s">
        <v>341</v>
      </c>
      <c r="F225" s="105" t="s">
        <v>167</v>
      </c>
      <c r="G225" s="107" t="s">
        <v>386</v>
      </c>
      <c r="H225" s="107" t="s">
        <v>175</v>
      </c>
      <c r="I225" s="107" t="s">
        <v>188</v>
      </c>
      <c r="J225" s="140">
        <v>0</v>
      </c>
      <c r="K225" s="116">
        <v>0</v>
      </c>
      <c r="L225" s="116">
        <v>8</v>
      </c>
      <c r="M225" s="116">
        <v>25</v>
      </c>
      <c r="N225" s="116">
        <f t="shared" si="3"/>
        <v>8</v>
      </c>
      <c r="O225" s="116">
        <v>25</v>
      </c>
      <c r="P225" s="116">
        <v>25</v>
      </c>
    </row>
    <row r="226" spans="1:16" ht="40.799999999999997">
      <c r="A226" s="102"/>
      <c r="B226" s="103"/>
      <c r="C226" s="103"/>
      <c r="D226" s="100">
        <v>214</v>
      </c>
      <c r="E226" s="104" t="s">
        <v>341</v>
      </c>
      <c r="F226" s="105" t="s">
        <v>174</v>
      </c>
      <c r="G226" s="107" t="s">
        <v>386</v>
      </c>
      <c r="H226" s="107" t="s">
        <v>175</v>
      </c>
      <c r="I226" s="107" t="s">
        <v>188</v>
      </c>
      <c r="J226" s="140">
        <v>72</v>
      </c>
      <c r="K226" s="116">
        <v>68</v>
      </c>
      <c r="L226" s="116">
        <v>56</v>
      </c>
      <c r="M226" s="116">
        <v>73</v>
      </c>
      <c r="N226" s="116">
        <f t="shared" si="3"/>
        <v>67</v>
      </c>
      <c r="O226" s="116">
        <v>67</v>
      </c>
      <c r="P226" s="116">
        <v>67</v>
      </c>
    </row>
    <row r="227" spans="1:16" ht="40.799999999999997">
      <c r="A227" s="102"/>
      <c r="B227" s="103"/>
      <c r="C227" s="103"/>
      <c r="D227" s="100">
        <v>215</v>
      </c>
      <c r="E227" s="104" t="s">
        <v>341</v>
      </c>
      <c r="F227" s="105" t="s">
        <v>174</v>
      </c>
      <c r="G227" s="107" t="s">
        <v>398</v>
      </c>
      <c r="H227" s="107" t="s">
        <v>175</v>
      </c>
      <c r="I227" s="107" t="s">
        <v>186</v>
      </c>
      <c r="J227" s="140">
        <f>37+1</f>
        <v>38</v>
      </c>
      <c r="K227" s="116">
        <v>37</v>
      </c>
      <c r="L227" s="116">
        <v>23</v>
      </c>
      <c r="M227" s="116">
        <f>40-1</f>
        <v>39</v>
      </c>
      <c r="N227" s="116">
        <f t="shared" si="3"/>
        <v>34</v>
      </c>
      <c r="O227" s="116">
        <v>41</v>
      </c>
      <c r="P227" s="116">
        <v>50</v>
      </c>
    </row>
    <row r="228" spans="1:16" ht="40.799999999999997">
      <c r="A228" s="102"/>
      <c r="B228" s="103"/>
      <c r="C228" s="103"/>
      <c r="D228" s="100">
        <v>216</v>
      </c>
      <c r="E228" s="104" t="s">
        <v>341</v>
      </c>
      <c r="F228" s="105" t="s">
        <v>174</v>
      </c>
      <c r="G228" s="107" t="s">
        <v>399</v>
      </c>
      <c r="H228" s="107" t="s">
        <v>175</v>
      </c>
      <c r="I228" s="107" t="s">
        <v>261</v>
      </c>
      <c r="J228" s="140">
        <v>0</v>
      </c>
      <c r="K228" s="116">
        <v>0</v>
      </c>
      <c r="L228" s="116">
        <v>0</v>
      </c>
      <c r="M228" s="116">
        <v>0</v>
      </c>
      <c r="N228" s="116">
        <f t="shared" si="3"/>
        <v>0</v>
      </c>
      <c r="O228" s="116">
        <v>8</v>
      </c>
      <c r="P228" s="116">
        <v>25</v>
      </c>
    </row>
    <row r="229" spans="1:16" ht="40.799999999999997">
      <c r="A229" s="102"/>
      <c r="B229" s="103"/>
      <c r="C229" s="103"/>
      <c r="D229" s="100">
        <v>217</v>
      </c>
      <c r="E229" s="104" t="s">
        <v>341</v>
      </c>
      <c r="F229" s="105" t="s">
        <v>174</v>
      </c>
      <c r="G229" s="107" t="s">
        <v>386</v>
      </c>
      <c r="H229" s="107" t="s">
        <v>175</v>
      </c>
      <c r="I229" s="107" t="s">
        <v>261</v>
      </c>
      <c r="J229" s="140">
        <v>26</v>
      </c>
      <c r="K229" s="116">
        <v>25</v>
      </c>
      <c r="L229" s="116">
        <v>25</v>
      </c>
      <c r="M229" s="116">
        <v>24</v>
      </c>
      <c r="N229" s="116">
        <f t="shared" si="3"/>
        <v>25</v>
      </c>
      <c r="O229" s="116">
        <v>24</v>
      </c>
      <c r="P229" s="116">
        <v>24</v>
      </c>
    </row>
    <row r="230" spans="1:16" ht="40.799999999999997">
      <c r="A230" s="102"/>
      <c r="B230" s="103"/>
      <c r="C230" s="103"/>
      <c r="D230" s="100">
        <v>218</v>
      </c>
      <c r="E230" s="104" t="s">
        <v>341</v>
      </c>
      <c r="F230" s="105" t="s">
        <v>174</v>
      </c>
      <c r="G230" s="107" t="s">
        <v>400</v>
      </c>
      <c r="H230" s="107" t="s">
        <v>175</v>
      </c>
      <c r="I230" s="107" t="s">
        <v>381</v>
      </c>
      <c r="J230" s="140">
        <v>36</v>
      </c>
      <c r="K230" s="116">
        <v>36</v>
      </c>
      <c r="L230" s="116">
        <v>20</v>
      </c>
      <c r="M230" s="116">
        <v>20</v>
      </c>
      <c r="N230" s="116">
        <f t="shared" si="3"/>
        <v>28</v>
      </c>
      <c r="O230" s="116">
        <v>28</v>
      </c>
      <c r="P230" s="116">
        <v>35</v>
      </c>
    </row>
    <row r="231" spans="1:16" ht="40.799999999999997">
      <c r="A231" s="102"/>
      <c r="B231" s="103"/>
      <c r="C231" s="103"/>
      <c r="D231" s="100">
        <v>219</v>
      </c>
      <c r="E231" s="104" t="s">
        <v>341</v>
      </c>
      <c r="F231" s="105" t="s">
        <v>174</v>
      </c>
      <c r="G231" s="107" t="s">
        <v>386</v>
      </c>
      <c r="H231" s="107" t="s">
        <v>175</v>
      </c>
      <c r="I231" s="107" t="s">
        <v>356</v>
      </c>
      <c r="J231" s="140">
        <f>59-2</f>
        <v>57</v>
      </c>
      <c r="K231" s="116">
        <f>58-2</f>
        <v>56</v>
      </c>
      <c r="L231" s="116">
        <v>54</v>
      </c>
      <c r="M231" s="116">
        <f>68+2+2</f>
        <v>72</v>
      </c>
      <c r="N231" s="116">
        <f t="shared" si="3"/>
        <v>60</v>
      </c>
      <c r="O231" s="116">
        <v>60</v>
      </c>
      <c r="P231" s="116">
        <v>60</v>
      </c>
    </row>
    <row r="232" spans="1:16" ht="40.799999999999997">
      <c r="A232" s="102"/>
      <c r="B232" s="103"/>
      <c r="C232" s="103"/>
      <c r="D232" s="100">
        <v>220</v>
      </c>
      <c r="E232" s="104" t="s">
        <v>341</v>
      </c>
      <c r="F232" s="105" t="s">
        <v>174</v>
      </c>
      <c r="G232" s="107" t="s">
        <v>401</v>
      </c>
      <c r="H232" s="107" t="s">
        <v>175</v>
      </c>
      <c r="I232" s="107" t="s">
        <v>172</v>
      </c>
      <c r="J232" s="140">
        <v>0</v>
      </c>
      <c r="K232" s="116">
        <v>0</v>
      </c>
      <c r="L232" s="116">
        <v>0</v>
      </c>
      <c r="M232" s="116">
        <v>0</v>
      </c>
      <c r="N232" s="116">
        <f t="shared" si="3"/>
        <v>0</v>
      </c>
      <c r="O232" s="116">
        <v>8</v>
      </c>
      <c r="P232" s="116">
        <v>33</v>
      </c>
    </row>
    <row r="233" spans="1:16" ht="40.799999999999997">
      <c r="A233" s="102">
        <v>11</v>
      </c>
      <c r="B233" s="103" t="s">
        <v>402</v>
      </c>
      <c r="C233" s="103" t="s">
        <v>396</v>
      </c>
      <c r="D233" s="100">
        <v>221</v>
      </c>
      <c r="E233" s="104" t="s">
        <v>341</v>
      </c>
      <c r="F233" s="105" t="s">
        <v>174</v>
      </c>
      <c r="G233" s="107" t="s">
        <v>403</v>
      </c>
      <c r="H233" s="107" t="s">
        <v>175</v>
      </c>
      <c r="I233" s="107" t="s">
        <v>172</v>
      </c>
      <c r="J233" s="140">
        <f>41-1</f>
        <v>40</v>
      </c>
      <c r="K233" s="116">
        <f>41-1</f>
        <v>40</v>
      </c>
      <c r="L233" s="116">
        <v>22</v>
      </c>
      <c r="M233" s="116">
        <f>22+1+1</f>
        <v>24</v>
      </c>
      <c r="N233" s="116">
        <f t="shared" si="3"/>
        <v>32</v>
      </c>
      <c r="O233" s="116">
        <v>11</v>
      </c>
      <c r="P233" s="116">
        <v>0</v>
      </c>
    </row>
    <row r="234" spans="1:16" ht="30.6">
      <c r="A234" s="102">
        <v>11</v>
      </c>
      <c r="B234" s="103" t="s">
        <v>404</v>
      </c>
      <c r="C234" s="103" t="s">
        <v>335</v>
      </c>
      <c r="D234" s="100">
        <v>222</v>
      </c>
      <c r="E234" s="104" t="s">
        <v>166</v>
      </c>
      <c r="F234" s="104" t="s">
        <v>167</v>
      </c>
      <c r="G234" s="107" t="s">
        <v>225</v>
      </c>
      <c r="H234" s="107" t="s">
        <v>169</v>
      </c>
      <c r="I234" s="107" t="s">
        <v>229</v>
      </c>
      <c r="J234" s="140">
        <f>97-1</f>
        <v>96</v>
      </c>
      <c r="K234" s="116">
        <f>97-2</f>
        <v>95</v>
      </c>
      <c r="L234" s="116">
        <v>78</v>
      </c>
      <c r="M234" s="116">
        <f>90+1+2</f>
        <v>93</v>
      </c>
      <c r="N234" s="116">
        <f t="shared" si="3"/>
        <v>91</v>
      </c>
      <c r="O234" s="116">
        <v>86</v>
      </c>
      <c r="P234" s="116">
        <v>79</v>
      </c>
    </row>
    <row r="235" spans="1:16" ht="40.799999999999997">
      <c r="A235" s="102"/>
      <c r="B235" s="103"/>
      <c r="C235" s="103"/>
      <c r="D235" s="100">
        <v>223</v>
      </c>
      <c r="E235" s="104" t="s">
        <v>166</v>
      </c>
      <c r="F235" s="104" t="s">
        <v>167</v>
      </c>
      <c r="G235" s="107" t="s">
        <v>225</v>
      </c>
      <c r="H235" s="107" t="s">
        <v>169</v>
      </c>
      <c r="I235" s="107" t="s">
        <v>228</v>
      </c>
      <c r="J235" s="140">
        <v>67</v>
      </c>
      <c r="K235" s="116">
        <v>65</v>
      </c>
      <c r="L235" s="116">
        <v>62</v>
      </c>
      <c r="M235" s="116">
        <v>58</v>
      </c>
      <c r="N235" s="116">
        <f t="shared" si="3"/>
        <v>63</v>
      </c>
      <c r="O235" s="116">
        <v>63</v>
      </c>
      <c r="P235" s="116">
        <v>63</v>
      </c>
    </row>
    <row r="236" spans="1:16" ht="30.6">
      <c r="A236" s="102"/>
      <c r="B236" s="103"/>
      <c r="C236" s="103"/>
      <c r="D236" s="100">
        <v>224</v>
      </c>
      <c r="E236" s="104" t="s">
        <v>166</v>
      </c>
      <c r="F236" s="104" t="s">
        <v>167</v>
      </c>
      <c r="G236" s="107" t="s">
        <v>225</v>
      </c>
      <c r="H236" s="107" t="s">
        <v>175</v>
      </c>
      <c r="I236" s="107" t="s">
        <v>226</v>
      </c>
      <c r="J236" s="140">
        <f>58+2</f>
        <v>60</v>
      </c>
      <c r="K236" s="116">
        <f>57+2</f>
        <v>59</v>
      </c>
      <c r="L236" s="116">
        <v>43</v>
      </c>
      <c r="M236" s="116">
        <f>51-2-2</f>
        <v>47</v>
      </c>
      <c r="N236" s="116">
        <f t="shared" si="3"/>
        <v>52</v>
      </c>
      <c r="O236" s="116">
        <v>54</v>
      </c>
      <c r="P236" s="116">
        <v>54</v>
      </c>
    </row>
    <row r="237" spans="1:16" ht="30.6">
      <c r="A237" s="102">
        <v>11</v>
      </c>
      <c r="B237" s="103" t="s">
        <v>405</v>
      </c>
      <c r="C237" s="103" t="s">
        <v>406</v>
      </c>
      <c r="D237" s="100">
        <v>225</v>
      </c>
      <c r="E237" s="104" t="s">
        <v>166</v>
      </c>
      <c r="F237" s="104" t="s">
        <v>167</v>
      </c>
      <c r="G237" s="107" t="s">
        <v>300</v>
      </c>
      <c r="H237" s="107" t="s">
        <v>169</v>
      </c>
      <c r="I237" s="107" t="s">
        <v>229</v>
      </c>
      <c r="J237" s="140">
        <f>51-2</f>
        <v>49</v>
      </c>
      <c r="K237" s="116">
        <f>51-4</f>
        <v>47</v>
      </c>
      <c r="L237" s="116">
        <v>46</v>
      </c>
      <c r="M237" s="116">
        <f>60+2+4</f>
        <v>66</v>
      </c>
      <c r="N237" s="116">
        <f t="shared" si="3"/>
        <v>52</v>
      </c>
      <c r="O237" s="116">
        <v>55</v>
      </c>
      <c r="P237" s="116">
        <v>38</v>
      </c>
    </row>
    <row r="238" spans="1:16" ht="40.799999999999997">
      <c r="A238" s="102"/>
      <c r="B238" s="103"/>
      <c r="C238" s="103"/>
      <c r="D238" s="100">
        <v>226</v>
      </c>
      <c r="E238" s="104" t="s">
        <v>166</v>
      </c>
      <c r="F238" s="104" t="s">
        <v>167</v>
      </c>
      <c r="G238" s="107" t="s">
        <v>300</v>
      </c>
      <c r="H238" s="107" t="s">
        <v>169</v>
      </c>
      <c r="I238" s="107" t="s">
        <v>227</v>
      </c>
      <c r="J238" s="140">
        <v>105</v>
      </c>
      <c r="K238" s="116">
        <f>105+4</f>
        <v>109</v>
      </c>
      <c r="L238" s="116">
        <v>110</v>
      </c>
      <c r="M238" s="116">
        <f>95-4</f>
        <v>91</v>
      </c>
      <c r="N238" s="116">
        <f t="shared" si="3"/>
        <v>104</v>
      </c>
      <c r="O238" s="116">
        <v>100</v>
      </c>
      <c r="P238" s="116">
        <v>100</v>
      </c>
    </row>
    <row r="239" spans="1:16" ht="40.799999999999997">
      <c r="A239" s="102"/>
      <c r="B239" s="103"/>
      <c r="C239" s="103"/>
      <c r="D239" s="100">
        <v>227</v>
      </c>
      <c r="E239" s="104" t="s">
        <v>166</v>
      </c>
      <c r="F239" s="104" t="s">
        <v>167</v>
      </c>
      <c r="G239" s="107" t="s">
        <v>300</v>
      </c>
      <c r="H239" s="107" t="s">
        <v>169</v>
      </c>
      <c r="I239" s="107" t="s">
        <v>228</v>
      </c>
      <c r="J239" s="140">
        <v>38</v>
      </c>
      <c r="K239" s="116">
        <v>37</v>
      </c>
      <c r="L239" s="116">
        <v>36</v>
      </c>
      <c r="M239" s="116">
        <v>35</v>
      </c>
      <c r="N239" s="116">
        <f t="shared" si="3"/>
        <v>37</v>
      </c>
      <c r="O239" s="116">
        <v>37</v>
      </c>
      <c r="P239" s="116">
        <v>37</v>
      </c>
    </row>
    <row r="240" spans="1:16" ht="40.799999999999997">
      <c r="A240" s="102">
        <v>11</v>
      </c>
      <c r="B240" s="103" t="s">
        <v>407</v>
      </c>
      <c r="C240" s="103" t="s">
        <v>389</v>
      </c>
      <c r="D240" s="100">
        <v>228</v>
      </c>
      <c r="E240" s="104" t="s">
        <v>341</v>
      </c>
      <c r="F240" s="105" t="s">
        <v>174</v>
      </c>
      <c r="G240" s="107" t="s">
        <v>408</v>
      </c>
      <c r="H240" s="107" t="s">
        <v>175</v>
      </c>
      <c r="I240" s="107" t="s">
        <v>309</v>
      </c>
      <c r="J240" s="140">
        <v>71</v>
      </c>
      <c r="K240" s="116">
        <v>70</v>
      </c>
      <c r="L240" s="116">
        <v>62</v>
      </c>
      <c r="M240" s="116">
        <v>81</v>
      </c>
      <c r="N240" s="116">
        <f t="shared" si="3"/>
        <v>71</v>
      </c>
      <c r="O240" s="116">
        <v>71</v>
      </c>
      <c r="P240" s="116">
        <v>61</v>
      </c>
    </row>
    <row r="241" spans="1:16" ht="40.799999999999997">
      <c r="A241" s="102">
        <v>11</v>
      </c>
      <c r="B241" s="103" t="s">
        <v>409</v>
      </c>
      <c r="C241" s="103" t="s">
        <v>389</v>
      </c>
      <c r="D241" s="100">
        <v>229</v>
      </c>
      <c r="E241" s="104" t="s">
        <v>341</v>
      </c>
      <c r="F241" s="105" t="s">
        <v>174</v>
      </c>
      <c r="G241" s="107" t="s">
        <v>410</v>
      </c>
      <c r="H241" s="107" t="s">
        <v>175</v>
      </c>
      <c r="I241" s="107" t="s">
        <v>172</v>
      </c>
      <c r="J241" s="140">
        <f>61-9</f>
        <v>52</v>
      </c>
      <c r="K241" s="116">
        <f>60-9</f>
        <v>51</v>
      </c>
      <c r="L241" s="116">
        <v>52</v>
      </c>
      <c r="M241" s="116">
        <f>67+9+9</f>
        <v>85</v>
      </c>
      <c r="N241" s="116">
        <f t="shared" si="3"/>
        <v>60</v>
      </c>
      <c r="O241" s="116">
        <v>58</v>
      </c>
      <c r="P241" s="116">
        <v>35</v>
      </c>
    </row>
    <row r="242" spans="1:16" ht="40.799999999999997">
      <c r="A242" s="102"/>
      <c r="B242" s="103"/>
      <c r="C242" s="103"/>
      <c r="D242" s="100">
        <v>230</v>
      </c>
      <c r="E242" s="104" t="s">
        <v>341</v>
      </c>
      <c r="F242" s="105" t="s">
        <v>174</v>
      </c>
      <c r="G242" s="107" t="s">
        <v>410</v>
      </c>
      <c r="H242" s="107" t="s">
        <v>175</v>
      </c>
      <c r="I242" s="107" t="s">
        <v>192</v>
      </c>
      <c r="J242" s="140">
        <v>75</v>
      </c>
      <c r="K242" s="116">
        <v>74</v>
      </c>
      <c r="L242" s="116">
        <v>48</v>
      </c>
      <c r="M242" s="116">
        <v>47</v>
      </c>
      <c r="N242" s="116">
        <f t="shared" si="3"/>
        <v>61</v>
      </c>
      <c r="O242" s="116">
        <v>42</v>
      </c>
      <c r="P242" s="116">
        <v>30</v>
      </c>
    </row>
    <row r="243" spans="1:16" ht="30.6">
      <c r="A243" s="102"/>
      <c r="B243" s="103"/>
      <c r="C243" s="103"/>
      <c r="D243" s="100">
        <v>231</v>
      </c>
      <c r="E243" s="104" t="s">
        <v>166</v>
      </c>
      <c r="F243" s="105" t="s">
        <v>174</v>
      </c>
      <c r="G243" s="107" t="s">
        <v>411</v>
      </c>
      <c r="H243" s="107" t="s">
        <v>175</v>
      </c>
      <c r="I243" s="107" t="s">
        <v>309</v>
      </c>
      <c r="J243" s="140">
        <v>0</v>
      </c>
      <c r="K243" s="116">
        <v>0</v>
      </c>
      <c r="L243" s="116">
        <v>0</v>
      </c>
      <c r="M243" s="116">
        <v>24</v>
      </c>
      <c r="N243" s="116">
        <f t="shared" si="3"/>
        <v>6</v>
      </c>
      <c r="O243" s="116">
        <v>21</v>
      </c>
      <c r="P243" s="116">
        <v>31</v>
      </c>
    </row>
    <row r="244" spans="1:16" ht="40.799999999999997">
      <c r="A244" s="102"/>
      <c r="B244" s="103"/>
      <c r="C244" s="103"/>
      <c r="D244" s="100">
        <v>232</v>
      </c>
      <c r="E244" s="104" t="s">
        <v>341</v>
      </c>
      <c r="F244" s="105" t="s">
        <v>174</v>
      </c>
      <c r="G244" s="107" t="s">
        <v>410</v>
      </c>
      <c r="H244" s="107" t="s">
        <v>175</v>
      </c>
      <c r="I244" s="107" t="s">
        <v>187</v>
      </c>
      <c r="J244" s="140">
        <v>18</v>
      </c>
      <c r="K244" s="116">
        <v>18</v>
      </c>
      <c r="L244" s="116">
        <v>7</v>
      </c>
      <c r="M244" s="116">
        <v>22</v>
      </c>
      <c r="N244" s="116">
        <f t="shared" si="3"/>
        <v>16</v>
      </c>
      <c r="O244" s="116">
        <v>22</v>
      </c>
      <c r="P244" s="116">
        <v>28</v>
      </c>
    </row>
    <row r="245" spans="1:16" ht="40.799999999999997">
      <c r="A245" s="102"/>
      <c r="B245" s="103"/>
      <c r="C245" s="103"/>
      <c r="D245" s="100">
        <v>233</v>
      </c>
      <c r="E245" s="104" t="s">
        <v>341</v>
      </c>
      <c r="F245" s="105" t="s">
        <v>174</v>
      </c>
      <c r="G245" s="107" t="s">
        <v>410</v>
      </c>
      <c r="H245" s="107" t="s">
        <v>175</v>
      </c>
      <c r="I245" s="107" t="s">
        <v>179</v>
      </c>
      <c r="J245" s="140">
        <v>1</v>
      </c>
      <c r="K245" s="116">
        <v>0</v>
      </c>
      <c r="L245" s="116">
        <v>0</v>
      </c>
      <c r="M245" s="116">
        <v>0</v>
      </c>
      <c r="N245" s="116">
        <f t="shared" si="3"/>
        <v>0</v>
      </c>
      <c r="O245" s="116">
        <v>0</v>
      </c>
      <c r="P245" s="116">
        <v>0</v>
      </c>
    </row>
    <row r="246" spans="1:16" ht="40.799999999999997">
      <c r="A246" s="102"/>
      <c r="B246" s="103"/>
      <c r="C246" s="103"/>
      <c r="D246" s="100">
        <v>234</v>
      </c>
      <c r="E246" s="104" t="s">
        <v>341</v>
      </c>
      <c r="F246" s="105" t="s">
        <v>320</v>
      </c>
      <c r="G246" s="107" t="s">
        <v>412</v>
      </c>
      <c r="H246" s="107" t="s">
        <v>175</v>
      </c>
      <c r="I246" s="107" t="s">
        <v>214</v>
      </c>
      <c r="J246" s="140">
        <v>0</v>
      </c>
      <c r="K246" s="116">
        <v>0</v>
      </c>
      <c r="L246" s="116">
        <v>7</v>
      </c>
      <c r="M246" s="116">
        <v>20</v>
      </c>
      <c r="N246" s="116">
        <f t="shared" si="3"/>
        <v>7</v>
      </c>
      <c r="O246" s="116">
        <v>27</v>
      </c>
      <c r="P246" s="116">
        <v>47</v>
      </c>
    </row>
    <row r="247" spans="1:16" ht="40.799999999999997">
      <c r="A247" s="102"/>
      <c r="B247" s="103"/>
      <c r="C247" s="103"/>
      <c r="D247" s="100">
        <v>235</v>
      </c>
      <c r="E247" s="104" t="s">
        <v>341</v>
      </c>
      <c r="F247" s="105" t="s">
        <v>320</v>
      </c>
      <c r="G247" s="107" t="s">
        <v>410</v>
      </c>
      <c r="H247" s="107" t="s">
        <v>175</v>
      </c>
      <c r="I247" s="107" t="s">
        <v>214</v>
      </c>
      <c r="J247" s="140">
        <v>32</v>
      </c>
      <c r="K247" s="116">
        <f>32-5</f>
        <v>27</v>
      </c>
      <c r="L247" s="116">
        <v>22</v>
      </c>
      <c r="M247" s="116">
        <f>22+5</f>
        <v>27</v>
      </c>
      <c r="N247" s="116">
        <f t="shared" si="3"/>
        <v>27</v>
      </c>
      <c r="O247" s="116">
        <v>15</v>
      </c>
      <c r="P247" s="116">
        <v>5</v>
      </c>
    </row>
    <row r="248" spans="1:16" ht="40.799999999999997">
      <c r="A248" s="102"/>
      <c r="B248" s="103"/>
      <c r="C248" s="103"/>
      <c r="D248" s="100">
        <v>236</v>
      </c>
      <c r="E248" s="104" t="s">
        <v>341</v>
      </c>
      <c r="F248" s="105" t="s">
        <v>174</v>
      </c>
      <c r="G248" s="107" t="s">
        <v>410</v>
      </c>
      <c r="H248" s="107" t="s">
        <v>175</v>
      </c>
      <c r="I248" s="115" t="s">
        <v>266</v>
      </c>
      <c r="J248" s="140">
        <v>18</v>
      </c>
      <c r="K248" s="116">
        <v>18</v>
      </c>
      <c r="L248" s="116">
        <v>8</v>
      </c>
      <c r="M248" s="116">
        <v>25</v>
      </c>
      <c r="N248" s="116">
        <f t="shared" si="3"/>
        <v>17</v>
      </c>
      <c r="O248" s="116">
        <v>25</v>
      </c>
      <c r="P248" s="116">
        <v>25</v>
      </c>
    </row>
    <row r="249" spans="1:16" ht="40.799999999999997">
      <c r="A249" s="102"/>
      <c r="B249" s="103"/>
      <c r="C249" s="103"/>
      <c r="D249" s="100">
        <v>237</v>
      </c>
      <c r="E249" s="104" t="s">
        <v>341</v>
      </c>
      <c r="F249" s="105" t="s">
        <v>174</v>
      </c>
      <c r="G249" s="107" t="s">
        <v>401</v>
      </c>
      <c r="H249" s="107" t="s">
        <v>175</v>
      </c>
      <c r="I249" s="107" t="s">
        <v>309</v>
      </c>
      <c r="J249" s="140">
        <v>72</v>
      </c>
      <c r="K249" s="116">
        <f>70-2</f>
        <v>68</v>
      </c>
      <c r="L249" s="116">
        <v>60</v>
      </c>
      <c r="M249" s="116">
        <f>78+2</f>
        <v>80</v>
      </c>
      <c r="N249" s="116">
        <f t="shared" si="3"/>
        <v>70</v>
      </c>
      <c r="O249" s="116">
        <v>69</v>
      </c>
      <c r="P249" s="116">
        <v>58</v>
      </c>
    </row>
    <row r="250" spans="1:16" ht="40.799999999999997">
      <c r="A250" s="102"/>
      <c r="B250" s="103"/>
      <c r="C250" s="103"/>
      <c r="D250" s="100">
        <v>238</v>
      </c>
      <c r="E250" s="104" t="s">
        <v>341</v>
      </c>
      <c r="F250" s="105" t="s">
        <v>174</v>
      </c>
      <c r="G250" s="107" t="s">
        <v>410</v>
      </c>
      <c r="H250" s="107" t="s">
        <v>175</v>
      </c>
      <c r="I250" s="107" t="s">
        <v>321</v>
      </c>
      <c r="J250" s="140">
        <v>36</v>
      </c>
      <c r="K250" s="116">
        <v>34</v>
      </c>
      <c r="L250" s="116">
        <v>24</v>
      </c>
      <c r="M250" s="116">
        <v>37</v>
      </c>
      <c r="N250" s="116">
        <f t="shared" si="3"/>
        <v>33</v>
      </c>
      <c r="O250" s="116">
        <v>42</v>
      </c>
      <c r="P250" s="116">
        <v>42</v>
      </c>
    </row>
    <row r="251" spans="1:16" ht="40.799999999999997">
      <c r="A251" s="102">
        <v>11</v>
      </c>
      <c r="B251" s="103" t="s">
        <v>413</v>
      </c>
      <c r="C251" s="103" t="s">
        <v>396</v>
      </c>
      <c r="D251" s="100">
        <v>239</v>
      </c>
      <c r="E251" s="104" t="s">
        <v>341</v>
      </c>
      <c r="F251" s="105" t="s">
        <v>174</v>
      </c>
      <c r="G251" s="107" t="s">
        <v>414</v>
      </c>
      <c r="H251" s="107" t="s">
        <v>175</v>
      </c>
      <c r="I251" s="107" t="s">
        <v>188</v>
      </c>
      <c r="J251" s="140">
        <v>47</v>
      </c>
      <c r="K251" s="116">
        <v>42</v>
      </c>
      <c r="L251" s="116">
        <v>20</v>
      </c>
      <c r="M251" s="116">
        <v>20</v>
      </c>
      <c r="N251" s="116">
        <f t="shared" si="3"/>
        <v>32</v>
      </c>
      <c r="O251" s="116">
        <v>25</v>
      </c>
      <c r="P251" s="116">
        <v>0</v>
      </c>
    </row>
    <row r="252" spans="1:16" ht="40.799999999999997">
      <c r="A252" s="102">
        <v>11</v>
      </c>
      <c r="B252" s="103" t="s">
        <v>415</v>
      </c>
      <c r="C252" s="103" t="s">
        <v>416</v>
      </c>
      <c r="D252" s="100">
        <v>240</v>
      </c>
      <c r="E252" s="104" t="s">
        <v>341</v>
      </c>
      <c r="F252" s="105" t="s">
        <v>174</v>
      </c>
      <c r="G252" s="107" t="s">
        <v>417</v>
      </c>
      <c r="H252" s="107" t="s">
        <v>175</v>
      </c>
      <c r="I252" s="107" t="s">
        <v>356</v>
      </c>
      <c r="J252" s="140">
        <v>69</v>
      </c>
      <c r="K252" s="116">
        <f>69-1</f>
        <v>68</v>
      </c>
      <c r="L252" s="116">
        <v>53</v>
      </c>
      <c r="M252" s="116">
        <f>65+1</f>
        <v>66</v>
      </c>
      <c r="N252" s="116">
        <f t="shared" si="3"/>
        <v>64</v>
      </c>
      <c r="O252" s="116">
        <v>64</v>
      </c>
      <c r="P252" s="116">
        <v>64</v>
      </c>
    </row>
    <row r="253" spans="1:16" ht="40.799999999999997">
      <c r="A253" s="102">
        <v>11</v>
      </c>
      <c r="B253" s="103" t="s">
        <v>418</v>
      </c>
      <c r="C253" s="103" t="s">
        <v>419</v>
      </c>
      <c r="D253" s="100">
        <v>241</v>
      </c>
      <c r="E253" s="104" t="s">
        <v>341</v>
      </c>
      <c r="F253" s="105" t="s">
        <v>174</v>
      </c>
      <c r="G253" s="107" t="s">
        <v>420</v>
      </c>
      <c r="H253" s="107" t="s">
        <v>175</v>
      </c>
      <c r="I253" s="107" t="s">
        <v>339</v>
      </c>
      <c r="J253" s="140">
        <f>43-5</f>
        <v>38</v>
      </c>
      <c r="K253" s="116">
        <v>38</v>
      </c>
      <c r="L253" s="116">
        <v>44</v>
      </c>
      <c r="M253" s="116">
        <v>44</v>
      </c>
      <c r="N253" s="116">
        <f t="shared" si="3"/>
        <v>41</v>
      </c>
      <c r="O253" s="116">
        <v>41</v>
      </c>
      <c r="P253" s="116">
        <v>40</v>
      </c>
    </row>
    <row r="254" spans="1:16" ht="40.799999999999997">
      <c r="A254" s="102"/>
      <c r="B254" s="103"/>
      <c r="C254" s="103"/>
      <c r="D254" s="100">
        <v>242</v>
      </c>
      <c r="E254" s="104" t="s">
        <v>341</v>
      </c>
      <c r="F254" s="105" t="s">
        <v>174</v>
      </c>
      <c r="G254" s="107" t="s">
        <v>394</v>
      </c>
      <c r="H254" s="107" t="s">
        <v>175</v>
      </c>
      <c r="I254" s="107" t="s">
        <v>261</v>
      </c>
      <c r="J254" s="140">
        <v>19</v>
      </c>
      <c r="K254" s="116">
        <f>19-1</f>
        <v>18</v>
      </c>
      <c r="L254" s="116">
        <v>26</v>
      </c>
      <c r="M254" s="116">
        <f>39+1</f>
        <v>40</v>
      </c>
      <c r="N254" s="116">
        <f t="shared" si="3"/>
        <v>26</v>
      </c>
      <c r="O254" s="116">
        <v>30</v>
      </c>
      <c r="P254" s="116">
        <v>18</v>
      </c>
    </row>
    <row r="255" spans="1:16" ht="40.799999999999997">
      <c r="A255" s="102">
        <v>11</v>
      </c>
      <c r="B255" s="103" t="s">
        <v>421</v>
      </c>
      <c r="C255" s="103" t="s">
        <v>419</v>
      </c>
      <c r="D255" s="100">
        <v>243</v>
      </c>
      <c r="E255" s="104" t="s">
        <v>341</v>
      </c>
      <c r="F255" s="105" t="s">
        <v>174</v>
      </c>
      <c r="G255" s="107" t="s">
        <v>422</v>
      </c>
      <c r="H255" s="107" t="s">
        <v>175</v>
      </c>
      <c r="I255" s="107" t="s">
        <v>261</v>
      </c>
      <c r="J255" s="143">
        <v>41</v>
      </c>
      <c r="K255" s="117">
        <v>41</v>
      </c>
      <c r="L255" s="117">
        <v>29</v>
      </c>
      <c r="M255" s="117">
        <v>44</v>
      </c>
      <c r="N255" s="116">
        <f t="shared" si="3"/>
        <v>39</v>
      </c>
      <c r="O255" s="117">
        <v>39</v>
      </c>
      <c r="P255" s="117">
        <v>38</v>
      </c>
    </row>
    <row r="256" spans="1:16" ht="40.799999999999997">
      <c r="A256" s="102"/>
      <c r="B256" s="103"/>
      <c r="C256" s="103"/>
      <c r="D256" s="100">
        <v>244</v>
      </c>
      <c r="E256" s="104" t="s">
        <v>341</v>
      </c>
      <c r="F256" s="105" t="s">
        <v>174</v>
      </c>
      <c r="G256" s="107" t="s">
        <v>422</v>
      </c>
      <c r="H256" s="107" t="s">
        <v>175</v>
      </c>
      <c r="I256" s="106" t="s">
        <v>176</v>
      </c>
      <c r="J256" s="116">
        <v>66</v>
      </c>
      <c r="K256" s="116">
        <v>65</v>
      </c>
      <c r="L256" s="116">
        <v>55</v>
      </c>
      <c r="M256" s="116">
        <v>71</v>
      </c>
      <c r="N256" s="116">
        <f t="shared" si="3"/>
        <v>64</v>
      </c>
      <c r="O256" s="116">
        <v>66</v>
      </c>
      <c r="P256" s="116">
        <v>66</v>
      </c>
    </row>
    <row r="257" spans="1:16" ht="40.799999999999997">
      <c r="A257" s="102"/>
      <c r="B257" s="103"/>
      <c r="C257" s="103"/>
      <c r="D257" s="100">
        <v>245</v>
      </c>
      <c r="E257" s="104" t="s">
        <v>341</v>
      </c>
      <c r="F257" s="105" t="s">
        <v>174</v>
      </c>
      <c r="G257" s="107" t="s">
        <v>422</v>
      </c>
      <c r="H257" s="107" t="s">
        <v>175</v>
      </c>
      <c r="I257" s="106" t="s">
        <v>309</v>
      </c>
      <c r="J257" s="116">
        <v>40</v>
      </c>
      <c r="K257" s="116">
        <v>39</v>
      </c>
      <c r="L257" s="116">
        <v>27</v>
      </c>
      <c r="M257" s="116">
        <v>44</v>
      </c>
      <c r="N257" s="116">
        <f t="shared" si="3"/>
        <v>38</v>
      </c>
      <c r="O257" s="116">
        <v>46</v>
      </c>
      <c r="P257" s="116">
        <v>53</v>
      </c>
    </row>
    <row r="258" spans="1:16" ht="40.799999999999997">
      <c r="A258" s="102"/>
      <c r="B258" s="103"/>
      <c r="C258" s="103"/>
      <c r="D258" s="100">
        <v>246</v>
      </c>
      <c r="E258" s="104" t="s">
        <v>341</v>
      </c>
      <c r="F258" s="105" t="s">
        <v>174</v>
      </c>
      <c r="G258" s="107" t="s">
        <v>422</v>
      </c>
      <c r="H258" s="107" t="s">
        <v>175</v>
      </c>
      <c r="I258" s="106" t="s">
        <v>186</v>
      </c>
      <c r="J258" s="116">
        <v>19</v>
      </c>
      <c r="K258" s="116">
        <f>19-2</f>
        <v>17</v>
      </c>
      <c r="L258" s="116">
        <v>8</v>
      </c>
      <c r="M258" s="116">
        <f>25+2</f>
        <v>27</v>
      </c>
      <c r="N258" s="116">
        <f t="shared" si="3"/>
        <v>18</v>
      </c>
      <c r="O258" s="116">
        <v>25</v>
      </c>
      <c r="P258" s="116">
        <v>25</v>
      </c>
    </row>
    <row r="259" spans="1:16" ht="30.6">
      <c r="A259" s="102">
        <v>11</v>
      </c>
      <c r="B259" s="103" t="s">
        <v>423</v>
      </c>
      <c r="C259" s="103" t="s">
        <v>424</v>
      </c>
      <c r="D259" s="100">
        <v>247</v>
      </c>
      <c r="E259" s="104" t="s">
        <v>166</v>
      </c>
      <c r="F259" s="104" t="s">
        <v>167</v>
      </c>
      <c r="G259" s="107" t="s">
        <v>290</v>
      </c>
      <c r="H259" s="107" t="s">
        <v>169</v>
      </c>
      <c r="I259" s="106" t="s">
        <v>172</v>
      </c>
      <c r="J259" s="116">
        <f>48+6</f>
        <v>54</v>
      </c>
      <c r="K259" s="116">
        <f>48+7</f>
        <v>55</v>
      </c>
      <c r="L259" s="116">
        <v>33</v>
      </c>
      <c r="M259" s="116">
        <f>43-6-7</f>
        <v>30</v>
      </c>
      <c r="N259" s="116">
        <f t="shared" si="3"/>
        <v>43</v>
      </c>
      <c r="O259" s="116">
        <v>42</v>
      </c>
      <c r="P259" s="116">
        <v>33</v>
      </c>
    </row>
    <row r="260" spans="1:16" ht="40.799999999999997">
      <c r="A260" s="102">
        <v>11</v>
      </c>
      <c r="B260" s="103" t="s">
        <v>425</v>
      </c>
      <c r="C260" s="103" t="s">
        <v>426</v>
      </c>
      <c r="D260" s="100">
        <v>248</v>
      </c>
      <c r="E260" s="104" t="s">
        <v>341</v>
      </c>
      <c r="F260" s="105" t="s">
        <v>174</v>
      </c>
      <c r="G260" s="107" t="s">
        <v>427</v>
      </c>
      <c r="H260" s="107" t="s">
        <v>175</v>
      </c>
      <c r="I260" s="106" t="s">
        <v>183</v>
      </c>
      <c r="J260" s="116">
        <v>25</v>
      </c>
      <c r="K260" s="116">
        <v>25</v>
      </c>
      <c r="L260" s="116">
        <v>33</v>
      </c>
      <c r="M260" s="116">
        <v>50</v>
      </c>
      <c r="N260" s="116">
        <f t="shared" si="3"/>
        <v>33</v>
      </c>
      <c r="O260" s="116">
        <v>38</v>
      </c>
      <c r="P260" s="116">
        <v>33</v>
      </c>
    </row>
    <row r="261" spans="1:16" ht="40.799999999999997">
      <c r="A261" s="102"/>
      <c r="B261" s="103"/>
      <c r="C261" s="103"/>
      <c r="D261" s="100">
        <v>249</v>
      </c>
      <c r="E261" s="104" t="s">
        <v>341</v>
      </c>
      <c r="F261" s="105" t="s">
        <v>174</v>
      </c>
      <c r="G261" s="107" t="s">
        <v>428</v>
      </c>
      <c r="H261" s="107" t="s">
        <v>175</v>
      </c>
      <c r="I261" s="106" t="s">
        <v>185</v>
      </c>
      <c r="J261" s="116">
        <v>72</v>
      </c>
      <c r="K261" s="116">
        <v>69</v>
      </c>
      <c r="L261" s="116">
        <v>45</v>
      </c>
      <c r="M261" s="116">
        <v>43</v>
      </c>
      <c r="N261" s="116">
        <f t="shared" si="3"/>
        <v>57</v>
      </c>
      <c r="O261" s="116">
        <v>43</v>
      </c>
      <c r="P261" s="116">
        <v>22</v>
      </c>
    </row>
    <row r="262" spans="1:16" ht="40.799999999999997">
      <c r="A262" s="102">
        <v>11</v>
      </c>
      <c r="B262" s="103" t="s">
        <v>429</v>
      </c>
      <c r="C262" s="103" t="s">
        <v>430</v>
      </c>
      <c r="D262" s="100">
        <v>250</v>
      </c>
      <c r="E262" s="104" t="s">
        <v>341</v>
      </c>
      <c r="F262" s="105" t="s">
        <v>174</v>
      </c>
      <c r="G262" s="107" t="s">
        <v>428</v>
      </c>
      <c r="H262" s="107" t="s">
        <v>175</v>
      </c>
      <c r="I262" s="106" t="s">
        <v>192</v>
      </c>
      <c r="J262" s="116">
        <v>74</v>
      </c>
      <c r="K262" s="116">
        <v>73</v>
      </c>
      <c r="L262" s="116">
        <v>50</v>
      </c>
      <c r="M262" s="116">
        <v>67</v>
      </c>
      <c r="N262" s="116">
        <f t="shared" si="3"/>
        <v>66</v>
      </c>
      <c r="O262" s="116">
        <v>64</v>
      </c>
      <c r="P262" s="116">
        <v>60</v>
      </c>
    </row>
    <row r="263" spans="1:16" ht="40.799999999999997">
      <c r="A263" s="102">
        <v>11</v>
      </c>
      <c r="B263" s="103" t="s">
        <v>431</v>
      </c>
      <c r="C263" s="103" t="s">
        <v>432</v>
      </c>
      <c r="D263" s="100">
        <v>251</v>
      </c>
      <c r="E263" s="104" t="s">
        <v>341</v>
      </c>
      <c r="F263" s="104" t="s">
        <v>167</v>
      </c>
      <c r="G263" s="107" t="s">
        <v>433</v>
      </c>
      <c r="H263" s="107" t="s">
        <v>175</v>
      </c>
      <c r="I263" s="106" t="s">
        <v>222</v>
      </c>
      <c r="J263" s="116">
        <f>17-1</f>
        <v>16</v>
      </c>
      <c r="K263" s="116">
        <f>16-3</f>
        <v>13</v>
      </c>
      <c r="L263" s="116">
        <v>10</v>
      </c>
      <c r="M263" s="116">
        <f>24+1+3</f>
        <v>28</v>
      </c>
      <c r="N263" s="116">
        <f t="shared" si="3"/>
        <v>17</v>
      </c>
      <c r="O263" s="116">
        <v>15</v>
      </c>
      <c r="P263" s="116">
        <v>15</v>
      </c>
    </row>
    <row r="264" spans="1:16" ht="40.799999999999997">
      <c r="A264" s="102"/>
      <c r="B264" s="103"/>
      <c r="C264" s="103"/>
      <c r="D264" s="100">
        <v>252</v>
      </c>
      <c r="E264" s="104" t="s">
        <v>341</v>
      </c>
      <c r="F264" s="105" t="s">
        <v>174</v>
      </c>
      <c r="G264" s="107" t="s">
        <v>434</v>
      </c>
      <c r="H264" s="107" t="s">
        <v>175</v>
      </c>
      <c r="I264" s="106" t="s">
        <v>381</v>
      </c>
      <c r="J264" s="116">
        <v>25</v>
      </c>
      <c r="K264" s="116">
        <v>25</v>
      </c>
      <c r="L264" s="116">
        <v>33</v>
      </c>
      <c r="M264" s="116">
        <v>50</v>
      </c>
      <c r="N264" s="116">
        <f t="shared" si="3"/>
        <v>33</v>
      </c>
      <c r="O264" s="116">
        <v>58</v>
      </c>
      <c r="P264" s="116">
        <v>70</v>
      </c>
    </row>
    <row r="265" spans="1:16" ht="40.799999999999997">
      <c r="A265" s="102">
        <v>11</v>
      </c>
      <c r="B265" s="103" t="s">
        <v>435</v>
      </c>
      <c r="C265" s="103" t="s">
        <v>436</v>
      </c>
      <c r="D265" s="100">
        <v>253</v>
      </c>
      <c r="E265" s="104" t="s">
        <v>341</v>
      </c>
      <c r="F265" s="105" t="s">
        <v>174</v>
      </c>
      <c r="G265" s="107" t="s">
        <v>437</v>
      </c>
      <c r="H265" s="107" t="s">
        <v>175</v>
      </c>
      <c r="I265" s="106" t="s">
        <v>381</v>
      </c>
      <c r="J265" s="116">
        <v>20</v>
      </c>
      <c r="K265" s="116">
        <v>20</v>
      </c>
      <c r="L265" s="116">
        <v>28</v>
      </c>
      <c r="M265" s="116">
        <v>45</v>
      </c>
      <c r="N265" s="116">
        <f t="shared" si="3"/>
        <v>28</v>
      </c>
      <c r="O265" s="116">
        <v>35</v>
      </c>
      <c r="P265" s="116">
        <v>33</v>
      </c>
    </row>
    <row r="266" spans="1:16" ht="40.799999999999997">
      <c r="A266" s="102"/>
      <c r="B266" s="103"/>
      <c r="C266" s="103"/>
      <c r="D266" s="100">
        <v>254</v>
      </c>
      <c r="E266" s="104" t="s">
        <v>341</v>
      </c>
      <c r="F266" s="105" t="s">
        <v>174</v>
      </c>
      <c r="G266" s="107" t="s">
        <v>437</v>
      </c>
      <c r="H266" s="107" t="s">
        <v>175</v>
      </c>
      <c r="I266" s="106" t="s">
        <v>321</v>
      </c>
      <c r="J266" s="116">
        <v>54</v>
      </c>
      <c r="K266" s="116">
        <v>53</v>
      </c>
      <c r="L266" s="116">
        <v>43</v>
      </c>
      <c r="M266" s="116">
        <v>54</v>
      </c>
      <c r="N266" s="116">
        <f t="shared" si="3"/>
        <v>51</v>
      </c>
      <c r="O266" s="116">
        <v>53</v>
      </c>
      <c r="P266" s="116">
        <v>53</v>
      </c>
    </row>
    <row r="267" spans="1:16" ht="40.799999999999997">
      <c r="A267" s="102">
        <v>11</v>
      </c>
      <c r="B267" s="103" t="s">
        <v>438</v>
      </c>
      <c r="C267" s="103" t="s">
        <v>439</v>
      </c>
      <c r="D267" s="100">
        <v>255</v>
      </c>
      <c r="E267" s="104" t="s">
        <v>341</v>
      </c>
      <c r="F267" s="104" t="s">
        <v>320</v>
      </c>
      <c r="G267" s="107" t="s">
        <v>440</v>
      </c>
      <c r="H267" s="107" t="s">
        <v>175</v>
      </c>
      <c r="I267" s="106" t="s">
        <v>339</v>
      </c>
      <c r="J267" s="116">
        <v>27</v>
      </c>
      <c r="K267" s="116">
        <v>27</v>
      </c>
      <c r="L267" s="116">
        <v>25</v>
      </c>
      <c r="M267" s="116">
        <v>25</v>
      </c>
      <c r="N267" s="116">
        <f t="shared" si="3"/>
        <v>26</v>
      </c>
      <c r="O267" s="116">
        <v>22</v>
      </c>
      <c r="P267" s="116">
        <v>21</v>
      </c>
    </row>
    <row r="268" spans="1:16" ht="40.799999999999997">
      <c r="A268" s="102"/>
      <c r="B268" s="103"/>
      <c r="C268" s="103"/>
      <c r="D268" s="100">
        <v>256</v>
      </c>
      <c r="E268" s="104" t="s">
        <v>341</v>
      </c>
      <c r="F268" s="104" t="s">
        <v>167</v>
      </c>
      <c r="G268" s="107" t="s">
        <v>414</v>
      </c>
      <c r="H268" s="107" t="s">
        <v>175</v>
      </c>
      <c r="I268" s="106" t="s">
        <v>179</v>
      </c>
      <c r="J268" s="116">
        <v>0</v>
      </c>
      <c r="K268" s="116">
        <v>0</v>
      </c>
      <c r="L268" s="116">
        <v>6</v>
      </c>
      <c r="M268" s="116">
        <v>25</v>
      </c>
      <c r="N268" s="116">
        <f t="shared" si="3"/>
        <v>8</v>
      </c>
      <c r="O268" s="116">
        <v>25</v>
      </c>
      <c r="P268" s="116">
        <v>25</v>
      </c>
    </row>
    <row r="269" spans="1:16" ht="30.6">
      <c r="A269" s="102"/>
      <c r="B269" s="103"/>
      <c r="C269" s="103"/>
      <c r="D269" s="100">
        <v>257</v>
      </c>
      <c r="E269" s="104" t="s">
        <v>166</v>
      </c>
      <c r="F269" s="104" t="s">
        <v>167</v>
      </c>
      <c r="G269" s="107" t="s">
        <v>308</v>
      </c>
      <c r="H269" s="107" t="s">
        <v>169</v>
      </c>
      <c r="I269" s="106" t="s">
        <v>179</v>
      </c>
      <c r="J269" s="116">
        <v>6</v>
      </c>
      <c r="K269" s="116">
        <v>6</v>
      </c>
      <c r="L269" s="116">
        <v>0</v>
      </c>
      <c r="M269" s="116">
        <v>0</v>
      </c>
      <c r="N269" s="116">
        <f t="shared" si="3"/>
        <v>3</v>
      </c>
      <c r="O269" s="116">
        <v>0</v>
      </c>
      <c r="P269" s="116">
        <v>0</v>
      </c>
    </row>
    <row r="270" spans="1:16" ht="40.799999999999997">
      <c r="A270" s="102">
        <v>11</v>
      </c>
      <c r="B270" s="103" t="s">
        <v>441</v>
      </c>
      <c r="C270" s="103" t="s">
        <v>389</v>
      </c>
      <c r="D270" s="100">
        <v>258</v>
      </c>
      <c r="E270" s="104" t="s">
        <v>341</v>
      </c>
      <c r="F270" s="105" t="s">
        <v>174</v>
      </c>
      <c r="G270" s="107" t="s">
        <v>442</v>
      </c>
      <c r="H270" s="107" t="s">
        <v>175</v>
      </c>
      <c r="I270" s="106" t="s">
        <v>309</v>
      </c>
      <c r="J270" s="116">
        <v>75</v>
      </c>
      <c r="K270" s="116">
        <v>73</v>
      </c>
      <c r="L270" s="116">
        <v>62</v>
      </c>
      <c r="M270" s="116">
        <v>69</v>
      </c>
      <c r="N270" s="116">
        <f t="shared" si="3"/>
        <v>70</v>
      </c>
      <c r="O270" s="116">
        <v>66</v>
      </c>
      <c r="P270" s="116">
        <v>52</v>
      </c>
    </row>
    <row r="271" spans="1:16" ht="40.799999999999997">
      <c r="A271" s="102">
        <v>11</v>
      </c>
      <c r="B271" s="103" t="s">
        <v>443</v>
      </c>
      <c r="C271" s="103" t="s">
        <v>444</v>
      </c>
      <c r="D271" s="100">
        <v>259</v>
      </c>
      <c r="E271" s="104" t="s">
        <v>341</v>
      </c>
      <c r="F271" s="105" t="s">
        <v>174</v>
      </c>
      <c r="G271" s="107" t="s">
        <v>445</v>
      </c>
      <c r="H271" s="107" t="s">
        <v>175</v>
      </c>
      <c r="I271" s="106" t="s">
        <v>192</v>
      </c>
      <c r="J271" s="116">
        <v>70</v>
      </c>
      <c r="K271" s="116">
        <v>69</v>
      </c>
      <c r="L271" s="116">
        <v>53</v>
      </c>
      <c r="M271" s="116">
        <v>70</v>
      </c>
      <c r="N271" s="116">
        <f t="shared" si="3"/>
        <v>66</v>
      </c>
      <c r="O271" s="116">
        <v>64</v>
      </c>
      <c r="P271" s="116">
        <v>61</v>
      </c>
    </row>
    <row r="272" spans="1:16" ht="40.799999999999997">
      <c r="A272" s="102">
        <v>11</v>
      </c>
      <c r="B272" s="103" t="s">
        <v>446</v>
      </c>
      <c r="C272" s="103" t="s">
        <v>416</v>
      </c>
      <c r="D272" s="100">
        <v>260</v>
      </c>
      <c r="E272" s="104" t="s">
        <v>341</v>
      </c>
      <c r="F272" s="105" t="s">
        <v>174</v>
      </c>
      <c r="G272" s="107" t="s">
        <v>447</v>
      </c>
      <c r="H272" s="107" t="s">
        <v>175</v>
      </c>
      <c r="I272" s="106" t="s">
        <v>183</v>
      </c>
      <c r="J272" s="116">
        <v>70</v>
      </c>
      <c r="K272" s="116">
        <v>69</v>
      </c>
      <c r="L272" s="116">
        <v>52</v>
      </c>
      <c r="M272" s="116">
        <v>69</v>
      </c>
      <c r="N272" s="116">
        <f t="shared" si="3"/>
        <v>65</v>
      </c>
      <c r="O272" s="116">
        <v>65</v>
      </c>
      <c r="P272" s="116">
        <v>67</v>
      </c>
    </row>
    <row r="273" spans="1:16" ht="40.799999999999997">
      <c r="A273" s="102">
        <v>11</v>
      </c>
      <c r="B273" s="103" t="s">
        <v>448</v>
      </c>
      <c r="C273" s="103" t="s">
        <v>449</v>
      </c>
      <c r="D273" s="100">
        <v>261</v>
      </c>
      <c r="E273" s="104" t="s">
        <v>341</v>
      </c>
      <c r="F273" s="105" t="s">
        <v>174</v>
      </c>
      <c r="G273" s="107" t="s">
        <v>450</v>
      </c>
      <c r="H273" s="107" t="s">
        <v>175</v>
      </c>
      <c r="I273" s="106" t="s">
        <v>343</v>
      </c>
      <c r="J273" s="116">
        <v>32</v>
      </c>
      <c r="K273" s="116">
        <v>32</v>
      </c>
      <c r="L273" s="116">
        <f>27-4</f>
        <v>23</v>
      </c>
      <c r="M273" s="116">
        <f>40-8</f>
        <v>32</v>
      </c>
      <c r="N273" s="116">
        <f t="shared" si="3"/>
        <v>30</v>
      </c>
      <c r="O273" s="116">
        <v>25</v>
      </c>
      <c r="P273" s="116">
        <v>9</v>
      </c>
    </row>
    <row r="274" spans="1:16" ht="40.799999999999997">
      <c r="A274" s="102"/>
      <c r="B274" s="103"/>
      <c r="C274" s="103"/>
      <c r="D274" s="100">
        <v>262</v>
      </c>
      <c r="E274" s="104" t="s">
        <v>341</v>
      </c>
      <c r="F274" s="105" t="s">
        <v>174</v>
      </c>
      <c r="G274" s="107" t="s">
        <v>450</v>
      </c>
      <c r="H274" s="107" t="s">
        <v>175</v>
      </c>
      <c r="I274" s="106" t="s">
        <v>309</v>
      </c>
      <c r="J274" s="116">
        <v>11</v>
      </c>
      <c r="K274" s="116">
        <v>10</v>
      </c>
      <c r="L274" s="116">
        <v>0</v>
      </c>
      <c r="M274" s="116">
        <v>0</v>
      </c>
      <c r="N274" s="116">
        <f t="shared" si="3"/>
        <v>5</v>
      </c>
      <c r="O274" s="116">
        <v>0</v>
      </c>
      <c r="P274" s="116">
        <v>0</v>
      </c>
    </row>
    <row r="275" spans="1:16" ht="40.799999999999997">
      <c r="A275" s="102">
        <v>11</v>
      </c>
      <c r="B275" s="103" t="s">
        <v>451</v>
      </c>
      <c r="C275" s="103" t="s">
        <v>452</v>
      </c>
      <c r="D275" s="100">
        <v>263</v>
      </c>
      <c r="E275" s="104" t="s">
        <v>341</v>
      </c>
      <c r="F275" s="105" t="s">
        <v>174</v>
      </c>
      <c r="G275" s="107" t="s">
        <v>453</v>
      </c>
      <c r="H275" s="107" t="s">
        <v>175</v>
      </c>
      <c r="I275" s="106" t="s">
        <v>192</v>
      </c>
      <c r="J275" s="116">
        <v>151</v>
      </c>
      <c r="K275" s="116">
        <v>149</v>
      </c>
      <c r="L275" s="116">
        <v>111</v>
      </c>
      <c r="M275" s="116">
        <v>128</v>
      </c>
      <c r="N275" s="116">
        <f t="shared" si="3"/>
        <v>135</v>
      </c>
      <c r="O275" s="116">
        <v>98</v>
      </c>
      <c r="P275" s="116">
        <v>48</v>
      </c>
    </row>
    <row r="276" spans="1:16" ht="40.799999999999997">
      <c r="A276" s="102"/>
      <c r="B276" s="103"/>
      <c r="C276" s="103"/>
      <c r="D276" s="100">
        <v>264</v>
      </c>
      <c r="E276" s="104" t="s">
        <v>341</v>
      </c>
      <c r="F276" s="105" t="s">
        <v>174</v>
      </c>
      <c r="G276" s="107" t="s">
        <v>454</v>
      </c>
      <c r="H276" s="107" t="s">
        <v>175</v>
      </c>
      <c r="I276" s="106" t="s">
        <v>179</v>
      </c>
      <c r="J276" s="116">
        <v>1</v>
      </c>
      <c r="K276" s="116">
        <v>1</v>
      </c>
      <c r="L276" s="116">
        <v>0</v>
      </c>
      <c r="M276" s="116">
        <v>0</v>
      </c>
      <c r="N276" s="116">
        <f t="shared" si="3"/>
        <v>1</v>
      </c>
      <c r="O276" s="116">
        <v>0</v>
      </c>
      <c r="P276" s="116">
        <v>0</v>
      </c>
    </row>
    <row r="277" spans="1:16" ht="30.6">
      <c r="A277" s="102"/>
      <c r="B277" s="103"/>
      <c r="C277" s="103"/>
      <c r="D277" s="100">
        <v>265</v>
      </c>
      <c r="E277" s="104" t="s">
        <v>166</v>
      </c>
      <c r="F277" s="105" t="s">
        <v>174</v>
      </c>
      <c r="G277" s="107" t="s">
        <v>355</v>
      </c>
      <c r="H277" s="107" t="s">
        <v>169</v>
      </c>
      <c r="I277" s="107" t="s">
        <v>170</v>
      </c>
      <c r="J277" s="140">
        <v>16</v>
      </c>
      <c r="K277" s="140">
        <f>0+16</f>
        <v>16</v>
      </c>
      <c r="L277" s="116">
        <v>0</v>
      </c>
      <c r="M277" s="116">
        <v>0</v>
      </c>
      <c r="N277" s="116">
        <f t="shared" si="3"/>
        <v>8</v>
      </c>
      <c r="O277" s="116">
        <v>0</v>
      </c>
      <c r="P277" s="116">
        <v>0</v>
      </c>
    </row>
    <row r="278" spans="1:16" ht="30.6">
      <c r="A278" s="102"/>
      <c r="B278" s="103"/>
      <c r="C278" s="103"/>
      <c r="D278" s="100">
        <v>266</v>
      </c>
      <c r="E278" s="104" t="s">
        <v>166</v>
      </c>
      <c r="F278" s="105" t="s">
        <v>174</v>
      </c>
      <c r="G278" s="107" t="s">
        <v>326</v>
      </c>
      <c r="H278" s="107" t="s">
        <v>175</v>
      </c>
      <c r="I278" s="106" t="s">
        <v>381</v>
      </c>
      <c r="J278" s="116">
        <v>0</v>
      </c>
      <c r="K278" s="116">
        <v>0</v>
      </c>
      <c r="L278" s="116">
        <v>8</v>
      </c>
      <c r="M278" s="116">
        <v>25</v>
      </c>
      <c r="N278" s="116">
        <f t="shared" si="3"/>
        <v>8</v>
      </c>
      <c r="O278" s="116">
        <v>33</v>
      </c>
      <c r="P278" s="116">
        <v>58</v>
      </c>
    </row>
    <row r="279" spans="1:16" ht="40.799999999999997">
      <c r="A279" s="102"/>
      <c r="B279" s="103"/>
      <c r="C279" s="103"/>
      <c r="D279" s="100">
        <v>267</v>
      </c>
      <c r="E279" s="104" t="s">
        <v>341</v>
      </c>
      <c r="F279" s="105" t="s">
        <v>174</v>
      </c>
      <c r="G279" s="107" t="s">
        <v>455</v>
      </c>
      <c r="H279" s="107" t="s">
        <v>175</v>
      </c>
      <c r="I279" s="118" t="s">
        <v>266</v>
      </c>
      <c r="J279" s="116">
        <v>20</v>
      </c>
      <c r="K279" s="116">
        <v>19</v>
      </c>
      <c r="L279" s="116">
        <v>19</v>
      </c>
      <c r="M279" s="116">
        <v>18</v>
      </c>
      <c r="N279" s="116">
        <f t="shared" si="3"/>
        <v>19</v>
      </c>
      <c r="O279" s="116">
        <v>18</v>
      </c>
      <c r="P279" s="116">
        <v>17</v>
      </c>
    </row>
    <row r="280" spans="1:16" ht="40.799999999999997">
      <c r="A280" s="102"/>
      <c r="B280" s="103"/>
      <c r="C280" s="103"/>
      <c r="D280" s="100">
        <v>268</v>
      </c>
      <c r="E280" s="104" t="s">
        <v>341</v>
      </c>
      <c r="F280" s="105" t="s">
        <v>174</v>
      </c>
      <c r="G280" s="107" t="s">
        <v>410</v>
      </c>
      <c r="H280" s="107" t="s">
        <v>175</v>
      </c>
      <c r="I280" s="106" t="s">
        <v>202</v>
      </c>
      <c r="J280" s="116">
        <v>0</v>
      </c>
      <c r="K280" s="116">
        <v>0</v>
      </c>
      <c r="L280" s="116">
        <v>8</v>
      </c>
      <c r="M280" s="116">
        <v>24</v>
      </c>
      <c r="N280" s="116">
        <f t="shared" si="3"/>
        <v>8</v>
      </c>
      <c r="O280" s="116">
        <v>30</v>
      </c>
      <c r="P280" s="116">
        <v>30</v>
      </c>
    </row>
    <row r="281" spans="1:16" ht="40.799999999999997">
      <c r="A281" s="102">
        <v>11</v>
      </c>
      <c r="B281" s="103" t="s">
        <v>456</v>
      </c>
      <c r="C281" s="103" t="s">
        <v>457</v>
      </c>
      <c r="D281" s="100">
        <v>269</v>
      </c>
      <c r="E281" s="104" t="s">
        <v>341</v>
      </c>
      <c r="F281" s="105" t="s">
        <v>174</v>
      </c>
      <c r="G281" s="107" t="s">
        <v>394</v>
      </c>
      <c r="H281" s="107" t="s">
        <v>175</v>
      </c>
      <c r="I281" s="106" t="s">
        <v>183</v>
      </c>
      <c r="J281" s="116">
        <v>73</v>
      </c>
      <c r="K281" s="116">
        <v>73</v>
      </c>
      <c r="L281" s="116">
        <v>48</v>
      </c>
      <c r="M281" s="116">
        <v>47</v>
      </c>
      <c r="N281" s="116">
        <f t="shared" si="3"/>
        <v>60</v>
      </c>
      <c r="O281" s="116">
        <v>44</v>
      </c>
      <c r="P281" s="116">
        <v>38</v>
      </c>
    </row>
    <row r="282" spans="1:16" ht="40.799999999999997">
      <c r="A282" s="102"/>
      <c r="B282" s="103"/>
      <c r="C282" s="103"/>
      <c r="D282" s="100">
        <v>270</v>
      </c>
      <c r="E282" s="104" t="s">
        <v>341</v>
      </c>
      <c r="F282" s="105" t="s">
        <v>174</v>
      </c>
      <c r="G282" s="107" t="s">
        <v>394</v>
      </c>
      <c r="H282" s="107" t="s">
        <v>175</v>
      </c>
      <c r="I282" s="106" t="s">
        <v>186</v>
      </c>
      <c r="J282" s="116">
        <f>45-2</f>
        <v>43</v>
      </c>
      <c r="K282" s="116">
        <f>45-2</f>
        <v>43</v>
      </c>
      <c r="L282" s="116">
        <v>33</v>
      </c>
      <c r="M282" s="116">
        <f>50+2+2</f>
        <v>54</v>
      </c>
      <c r="N282" s="116">
        <f t="shared" si="3"/>
        <v>43</v>
      </c>
      <c r="O282" s="116">
        <v>50</v>
      </c>
      <c r="P282" s="116">
        <v>46</v>
      </c>
    </row>
    <row r="283" spans="1:16" ht="40.799999999999997">
      <c r="A283" s="102"/>
      <c r="B283" s="103"/>
      <c r="C283" s="103"/>
      <c r="D283" s="100">
        <v>271</v>
      </c>
      <c r="E283" s="104" t="s">
        <v>341</v>
      </c>
      <c r="F283" s="105" t="s">
        <v>174</v>
      </c>
      <c r="G283" s="107" t="s">
        <v>394</v>
      </c>
      <c r="H283" s="107" t="s">
        <v>175</v>
      </c>
      <c r="I283" s="106" t="s">
        <v>187</v>
      </c>
      <c r="J283" s="116">
        <v>27</v>
      </c>
      <c r="K283" s="116">
        <v>27</v>
      </c>
      <c r="L283" s="116">
        <v>27</v>
      </c>
      <c r="M283" s="116">
        <v>26</v>
      </c>
      <c r="N283" s="116">
        <f t="shared" si="3"/>
        <v>27</v>
      </c>
      <c r="O283" s="116">
        <v>26</v>
      </c>
      <c r="P283" s="116">
        <v>20</v>
      </c>
    </row>
    <row r="284" spans="1:16" ht="30.6">
      <c r="A284" s="102"/>
      <c r="B284" s="103"/>
      <c r="C284" s="103"/>
      <c r="D284" s="100">
        <v>272</v>
      </c>
      <c r="E284" s="104" t="s">
        <v>166</v>
      </c>
      <c r="F284" s="105" t="s">
        <v>167</v>
      </c>
      <c r="G284" s="107" t="s">
        <v>458</v>
      </c>
      <c r="H284" s="106" t="s">
        <v>169</v>
      </c>
      <c r="I284" s="106" t="s">
        <v>188</v>
      </c>
      <c r="J284" s="116">
        <v>27</v>
      </c>
      <c r="K284" s="116">
        <v>25</v>
      </c>
      <c r="L284" s="116">
        <v>25</v>
      </c>
      <c r="M284" s="116">
        <v>40</v>
      </c>
      <c r="N284" s="116">
        <f t="shared" si="3"/>
        <v>29</v>
      </c>
      <c r="O284" s="116">
        <v>45</v>
      </c>
      <c r="P284" s="116">
        <v>45</v>
      </c>
    </row>
    <row r="285" spans="1:16" ht="30.6">
      <c r="A285" s="102"/>
      <c r="B285" s="103"/>
      <c r="C285" s="103"/>
      <c r="D285" s="100">
        <v>273</v>
      </c>
      <c r="E285" s="104" t="s">
        <v>166</v>
      </c>
      <c r="F285" s="104" t="s">
        <v>174</v>
      </c>
      <c r="G285" s="107" t="s">
        <v>459</v>
      </c>
      <c r="H285" s="107" t="s">
        <v>175</v>
      </c>
      <c r="I285" s="106" t="s">
        <v>188</v>
      </c>
      <c r="J285" s="116">
        <v>51</v>
      </c>
      <c r="K285" s="116">
        <v>48</v>
      </c>
      <c r="L285" s="116">
        <v>56</v>
      </c>
      <c r="M285" s="116">
        <v>73</v>
      </c>
      <c r="N285" s="116">
        <f t="shared" si="3"/>
        <v>57</v>
      </c>
      <c r="O285" s="116">
        <v>75</v>
      </c>
      <c r="P285" s="116">
        <v>100</v>
      </c>
    </row>
    <row r="286" spans="1:16" ht="40.799999999999997">
      <c r="A286" s="102"/>
      <c r="B286" s="103"/>
      <c r="C286" s="103"/>
      <c r="D286" s="100">
        <v>274</v>
      </c>
      <c r="E286" s="104" t="s">
        <v>341</v>
      </c>
      <c r="F286" s="104" t="s">
        <v>167</v>
      </c>
      <c r="G286" s="107" t="s">
        <v>460</v>
      </c>
      <c r="H286" s="107" t="s">
        <v>175</v>
      </c>
      <c r="I286" s="106" t="s">
        <v>188</v>
      </c>
      <c r="J286" s="116">
        <v>22</v>
      </c>
      <c r="K286" s="116">
        <v>20</v>
      </c>
      <c r="L286" s="116">
        <v>0</v>
      </c>
      <c r="M286" s="116">
        <v>0</v>
      </c>
      <c r="N286" s="116">
        <f t="shared" si="3"/>
        <v>11</v>
      </c>
      <c r="O286" s="116">
        <v>0</v>
      </c>
      <c r="P286" s="116">
        <v>0</v>
      </c>
    </row>
    <row r="287" spans="1:16" ht="40.799999999999997">
      <c r="A287" s="102">
        <v>11</v>
      </c>
      <c r="B287" s="103" t="s">
        <v>461</v>
      </c>
      <c r="C287" s="103" t="s">
        <v>396</v>
      </c>
      <c r="D287" s="100">
        <v>275</v>
      </c>
      <c r="E287" s="104" t="s">
        <v>341</v>
      </c>
      <c r="F287" s="105" t="s">
        <v>174</v>
      </c>
      <c r="G287" s="107" t="s">
        <v>462</v>
      </c>
      <c r="H287" s="107" t="s">
        <v>175</v>
      </c>
      <c r="I287" s="106" t="s">
        <v>188</v>
      </c>
      <c r="J287" s="116">
        <v>0</v>
      </c>
      <c r="K287" s="116">
        <v>0</v>
      </c>
      <c r="L287" s="116">
        <v>8</v>
      </c>
      <c r="M287" s="116">
        <v>25</v>
      </c>
      <c r="N287" s="116">
        <f t="shared" si="3"/>
        <v>8</v>
      </c>
      <c r="O287" s="116">
        <v>25</v>
      </c>
      <c r="P287" s="116">
        <v>25</v>
      </c>
    </row>
    <row r="288" spans="1:16" ht="40.799999999999997">
      <c r="A288" s="102"/>
      <c r="B288" s="103"/>
      <c r="C288" s="103"/>
      <c r="D288" s="100">
        <v>276</v>
      </c>
      <c r="E288" s="104" t="s">
        <v>341</v>
      </c>
      <c r="F288" s="105" t="s">
        <v>174</v>
      </c>
      <c r="G288" s="107" t="s">
        <v>463</v>
      </c>
      <c r="H288" s="107" t="s">
        <v>175</v>
      </c>
      <c r="I288" s="106" t="s">
        <v>187</v>
      </c>
      <c r="J288" s="116">
        <v>18</v>
      </c>
      <c r="K288" s="116">
        <v>18</v>
      </c>
      <c r="L288" s="116">
        <v>18</v>
      </c>
      <c r="M288" s="116">
        <v>17</v>
      </c>
      <c r="N288" s="116">
        <f t="shared" si="3"/>
        <v>18</v>
      </c>
      <c r="O288" s="116">
        <v>9</v>
      </c>
      <c r="P288" s="116">
        <v>0</v>
      </c>
    </row>
    <row r="289" spans="1:16" ht="40.799999999999997">
      <c r="A289" s="102">
        <v>11</v>
      </c>
      <c r="B289" s="103" t="s">
        <v>464</v>
      </c>
      <c r="C289" s="103" t="s">
        <v>416</v>
      </c>
      <c r="D289" s="100">
        <v>277</v>
      </c>
      <c r="E289" s="104" t="s">
        <v>166</v>
      </c>
      <c r="F289" s="105" t="s">
        <v>167</v>
      </c>
      <c r="G289" s="107" t="s">
        <v>203</v>
      </c>
      <c r="H289" s="106" t="s">
        <v>169</v>
      </c>
      <c r="I289" s="106" t="s">
        <v>186</v>
      </c>
      <c r="J289" s="116">
        <v>15</v>
      </c>
      <c r="K289" s="116">
        <v>15</v>
      </c>
      <c r="L289" s="116">
        <v>15</v>
      </c>
      <c r="M289" s="116">
        <v>15</v>
      </c>
      <c r="N289" s="116">
        <f t="shared" si="3"/>
        <v>15</v>
      </c>
      <c r="O289" s="116">
        <v>15</v>
      </c>
      <c r="P289" s="116">
        <v>15</v>
      </c>
    </row>
    <row r="290" spans="1:16" ht="40.799999999999997">
      <c r="A290" s="102"/>
      <c r="B290" s="103"/>
      <c r="C290" s="103"/>
      <c r="D290" s="100">
        <v>278</v>
      </c>
      <c r="E290" s="104" t="s">
        <v>341</v>
      </c>
      <c r="F290" s="105" t="s">
        <v>174</v>
      </c>
      <c r="G290" s="107" t="s">
        <v>399</v>
      </c>
      <c r="H290" s="107" t="s">
        <v>175</v>
      </c>
      <c r="I290" s="106" t="s">
        <v>172</v>
      </c>
      <c r="J290" s="116">
        <f>52-1</f>
        <v>51</v>
      </c>
      <c r="K290" s="116">
        <f>52-2</f>
        <v>50</v>
      </c>
      <c r="L290" s="116">
        <v>60</v>
      </c>
      <c r="M290" s="116">
        <f>76+1+2</f>
        <v>79</v>
      </c>
      <c r="N290" s="116">
        <f t="shared" si="3"/>
        <v>60</v>
      </c>
      <c r="O290" s="116">
        <v>72</v>
      </c>
      <c r="P290" s="116">
        <v>70</v>
      </c>
    </row>
    <row r="291" spans="1:16" ht="40.799999999999997">
      <c r="A291" s="102"/>
      <c r="B291" s="103"/>
      <c r="C291" s="103"/>
      <c r="D291" s="100">
        <v>279</v>
      </c>
      <c r="E291" s="104" t="s">
        <v>341</v>
      </c>
      <c r="F291" s="105" t="s">
        <v>174</v>
      </c>
      <c r="G291" s="107" t="s">
        <v>361</v>
      </c>
      <c r="H291" s="107" t="s">
        <v>175</v>
      </c>
      <c r="I291" s="106" t="s">
        <v>172</v>
      </c>
      <c r="J291" s="116">
        <f>50-1</f>
        <v>49</v>
      </c>
      <c r="K291" s="116">
        <f>49-1</f>
        <v>48</v>
      </c>
      <c r="L291" s="116">
        <v>57</v>
      </c>
      <c r="M291" s="116">
        <f>73+1+1</f>
        <v>75</v>
      </c>
      <c r="N291" s="116">
        <f t="shared" si="3"/>
        <v>57</v>
      </c>
      <c r="O291" s="116">
        <v>78</v>
      </c>
      <c r="P291" s="116">
        <v>102</v>
      </c>
    </row>
    <row r="292" spans="1:16" ht="30.6">
      <c r="A292" s="102"/>
      <c r="B292" s="103"/>
      <c r="C292" s="103"/>
      <c r="D292" s="100">
        <v>280</v>
      </c>
      <c r="E292" s="104" t="s">
        <v>166</v>
      </c>
      <c r="F292" s="105" t="s">
        <v>167</v>
      </c>
      <c r="G292" s="107" t="s">
        <v>465</v>
      </c>
      <c r="H292" s="107" t="s">
        <v>169</v>
      </c>
      <c r="I292" s="105" t="s">
        <v>356</v>
      </c>
      <c r="J292" s="116">
        <v>0</v>
      </c>
      <c r="K292" s="116">
        <v>0</v>
      </c>
      <c r="L292" s="116">
        <v>0</v>
      </c>
      <c r="M292" s="116">
        <v>0</v>
      </c>
      <c r="N292" s="116">
        <f t="shared" si="3"/>
        <v>0</v>
      </c>
      <c r="O292" s="116">
        <v>5</v>
      </c>
      <c r="P292" s="116">
        <v>20</v>
      </c>
    </row>
    <row r="293" spans="1:16" ht="40.799999999999997">
      <c r="A293" s="102"/>
      <c r="B293" s="103"/>
      <c r="C293" s="103"/>
      <c r="D293" s="100">
        <v>281</v>
      </c>
      <c r="E293" s="104" t="s">
        <v>341</v>
      </c>
      <c r="F293" s="104" t="s">
        <v>167</v>
      </c>
      <c r="G293" s="107" t="s">
        <v>361</v>
      </c>
      <c r="H293" s="107" t="s">
        <v>175</v>
      </c>
      <c r="I293" s="106" t="s">
        <v>356</v>
      </c>
      <c r="J293" s="116">
        <v>0</v>
      </c>
      <c r="K293" s="116">
        <v>0</v>
      </c>
      <c r="L293" s="116">
        <v>0</v>
      </c>
      <c r="M293" s="116">
        <v>0</v>
      </c>
      <c r="N293" s="116">
        <f t="shared" si="3"/>
        <v>0</v>
      </c>
      <c r="O293" s="116">
        <v>17</v>
      </c>
      <c r="P293" s="116">
        <v>67</v>
      </c>
    </row>
    <row r="294" spans="1:16" ht="40.799999999999997">
      <c r="A294" s="102"/>
      <c r="B294" s="103"/>
      <c r="C294" s="103"/>
      <c r="D294" s="100">
        <v>282</v>
      </c>
      <c r="E294" s="104" t="s">
        <v>341</v>
      </c>
      <c r="F294" s="104" t="s">
        <v>174</v>
      </c>
      <c r="G294" s="107" t="s">
        <v>412</v>
      </c>
      <c r="H294" s="107" t="s">
        <v>175</v>
      </c>
      <c r="I294" s="106" t="s">
        <v>356</v>
      </c>
      <c r="J294" s="116">
        <f>155-6</f>
        <v>149</v>
      </c>
      <c r="K294" s="116">
        <f>155-6</f>
        <v>149</v>
      </c>
      <c r="L294" s="116">
        <v>124</v>
      </c>
      <c r="M294" s="116">
        <f>153+6+6</f>
        <v>165</v>
      </c>
      <c r="N294" s="116">
        <f t="shared" si="3"/>
        <v>147</v>
      </c>
      <c r="O294" s="116">
        <v>128</v>
      </c>
      <c r="P294" s="116">
        <v>76</v>
      </c>
    </row>
    <row r="295" spans="1:16" ht="30.6">
      <c r="A295" s="102"/>
      <c r="B295" s="103"/>
      <c r="C295" s="103"/>
      <c r="D295" s="100">
        <v>283</v>
      </c>
      <c r="E295" s="104" t="s">
        <v>166</v>
      </c>
      <c r="F295" s="105" t="s">
        <v>174</v>
      </c>
      <c r="G295" s="107" t="s">
        <v>465</v>
      </c>
      <c r="H295" s="107" t="s">
        <v>175</v>
      </c>
      <c r="I295" s="105" t="s">
        <v>356</v>
      </c>
      <c r="J295" s="145">
        <v>0</v>
      </c>
      <c r="K295" s="145">
        <v>0</v>
      </c>
      <c r="L295" s="145">
        <v>0</v>
      </c>
      <c r="M295" s="145">
        <v>0</v>
      </c>
      <c r="N295" s="116">
        <f t="shared" si="3"/>
        <v>0</v>
      </c>
      <c r="O295" s="145">
        <v>8</v>
      </c>
      <c r="P295" s="145">
        <v>33</v>
      </c>
    </row>
    <row r="296" spans="1:16" ht="40.799999999999997">
      <c r="A296" s="102"/>
      <c r="B296" s="103"/>
      <c r="C296" s="103"/>
      <c r="D296" s="100">
        <v>284</v>
      </c>
      <c r="E296" s="104" t="s">
        <v>341</v>
      </c>
      <c r="F296" s="105" t="s">
        <v>174</v>
      </c>
      <c r="G296" s="107" t="s">
        <v>412</v>
      </c>
      <c r="H296" s="107" t="s">
        <v>175</v>
      </c>
      <c r="I296" s="106" t="s">
        <v>179</v>
      </c>
      <c r="J296" s="116">
        <v>65</v>
      </c>
      <c r="K296" s="116">
        <v>62</v>
      </c>
      <c r="L296" s="116">
        <v>30</v>
      </c>
      <c r="M296" s="116">
        <v>44</v>
      </c>
      <c r="N296" s="116">
        <f t="shared" si="3"/>
        <v>50</v>
      </c>
      <c r="O296" s="116">
        <v>50</v>
      </c>
      <c r="P296" s="116">
        <v>50</v>
      </c>
    </row>
    <row r="297" spans="1:16" ht="40.799999999999997">
      <c r="A297" s="102"/>
      <c r="B297" s="103"/>
      <c r="C297" s="103"/>
      <c r="D297" s="100">
        <v>285</v>
      </c>
      <c r="E297" s="104" t="s">
        <v>341</v>
      </c>
      <c r="F297" s="105" t="s">
        <v>174</v>
      </c>
      <c r="G297" s="107" t="s">
        <v>412</v>
      </c>
      <c r="H297" s="107" t="s">
        <v>175</v>
      </c>
      <c r="I297" s="106" t="s">
        <v>381</v>
      </c>
      <c r="J297" s="116">
        <v>70</v>
      </c>
      <c r="K297" s="116">
        <v>70</v>
      </c>
      <c r="L297" s="116">
        <v>57</v>
      </c>
      <c r="M297" s="116">
        <v>74</v>
      </c>
      <c r="N297" s="116">
        <f t="shared" si="3"/>
        <v>68</v>
      </c>
      <c r="O297" s="116">
        <v>70</v>
      </c>
      <c r="P297" s="116">
        <v>70</v>
      </c>
    </row>
    <row r="298" spans="1:16" ht="40.799999999999997">
      <c r="A298" s="102"/>
      <c r="B298" s="103"/>
      <c r="C298" s="103"/>
      <c r="D298" s="100">
        <v>286</v>
      </c>
      <c r="E298" s="104" t="s">
        <v>341</v>
      </c>
      <c r="F298" s="105" t="s">
        <v>174</v>
      </c>
      <c r="G298" s="107" t="s">
        <v>412</v>
      </c>
      <c r="H298" s="107" t="s">
        <v>175</v>
      </c>
      <c r="I298" s="106" t="s">
        <v>343</v>
      </c>
      <c r="J298" s="116">
        <v>67</v>
      </c>
      <c r="K298" s="116">
        <v>67</v>
      </c>
      <c r="L298" s="116">
        <v>48</v>
      </c>
      <c r="M298" s="116">
        <v>48</v>
      </c>
      <c r="N298" s="116">
        <f t="shared" si="3"/>
        <v>58</v>
      </c>
      <c r="O298" s="116">
        <v>38</v>
      </c>
      <c r="P298" s="116">
        <v>14</v>
      </c>
    </row>
    <row r="299" spans="1:16" ht="40.799999999999997">
      <c r="A299" s="102"/>
      <c r="B299" s="103"/>
      <c r="C299" s="103"/>
      <c r="D299" s="100">
        <v>287</v>
      </c>
      <c r="E299" s="104" t="s">
        <v>341</v>
      </c>
      <c r="F299" s="105" t="s">
        <v>174</v>
      </c>
      <c r="G299" s="107" t="s">
        <v>412</v>
      </c>
      <c r="H299" s="107" t="s">
        <v>175</v>
      </c>
      <c r="I299" s="106" t="s">
        <v>333</v>
      </c>
      <c r="J299" s="116">
        <f>20+1</f>
        <v>21</v>
      </c>
      <c r="K299" s="116">
        <f>20-1+2</f>
        <v>21</v>
      </c>
      <c r="L299" s="116">
        <v>0</v>
      </c>
      <c r="M299" s="116">
        <v>0</v>
      </c>
      <c r="N299" s="116">
        <f t="shared" si="3"/>
        <v>11</v>
      </c>
      <c r="O299" s="116">
        <v>0</v>
      </c>
      <c r="P299" s="116">
        <v>0</v>
      </c>
    </row>
    <row r="300" spans="1:16" ht="40.799999999999997">
      <c r="A300" s="102">
        <v>11</v>
      </c>
      <c r="B300" s="103" t="s">
        <v>466</v>
      </c>
      <c r="C300" s="103" t="s">
        <v>416</v>
      </c>
      <c r="D300" s="100">
        <v>288</v>
      </c>
      <c r="E300" s="104" t="s">
        <v>341</v>
      </c>
      <c r="F300" s="105" t="s">
        <v>174</v>
      </c>
      <c r="G300" s="107" t="s">
        <v>412</v>
      </c>
      <c r="H300" s="107" t="s">
        <v>175</v>
      </c>
      <c r="I300" s="106" t="s">
        <v>202</v>
      </c>
      <c r="J300" s="116">
        <v>73</v>
      </c>
      <c r="K300" s="116">
        <f>72+1</f>
        <v>73</v>
      </c>
      <c r="L300" s="116">
        <v>56</v>
      </c>
      <c r="M300" s="116">
        <f>72-1</f>
        <v>71</v>
      </c>
      <c r="N300" s="116">
        <f t="shared" si="3"/>
        <v>68</v>
      </c>
      <c r="O300" s="116">
        <v>69</v>
      </c>
      <c r="P300" s="116">
        <v>69</v>
      </c>
    </row>
    <row r="301" spans="1:16" ht="40.799999999999997">
      <c r="A301" s="102"/>
      <c r="B301" s="103"/>
      <c r="C301" s="103"/>
      <c r="D301" s="100">
        <v>289</v>
      </c>
      <c r="E301" s="104" t="s">
        <v>341</v>
      </c>
      <c r="F301" s="105" t="s">
        <v>174</v>
      </c>
      <c r="G301" s="107" t="s">
        <v>467</v>
      </c>
      <c r="H301" s="107" t="s">
        <v>175</v>
      </c>
      <c r="I301" s="106" t="s">
        <v>183</v>
      </c>
      <c r="J301" s="116">
        <v>204</v>
      </c>
      <c r="K301" s="116">
        <v>204</v>
      </c>
      <c r="L301" s="116">
        <v>175</v>
      </c>
      <c r="M301" s="116">
        <v>225</v>
      </c>
      <c r="N301" s="116">
        <f t="shared" si="3"/>
        <v>202</v>
      </c>
      <c r="O301" s="116">
        <v>217</v>
      </c>
      <c r="P301" s="116">
        <v>219</v>
      </c>
    </row>
    <row r="302" spans="1:16" ht="40.799999999999997">
      <c r="A302" s="102"/>
      <c r="B302" s="103"/>
      <c r="C302" s="103"/>
      <c r="D302" s="100">
        <v>290</v>
      </c>
      <c r="E302" s="104" t="s">
        <v>166</v>
      </c>
      <c r="F302" s="105" t="s">
        <v>174</v>
      </c>
      <c r="G302" s="107" t="s">
        <v>332</v>
      </c>
      <c r="H302" s="107" t="s">
        <v>175</v>
      </c>
      <c r="I302" s="106" t="s">
        <v>186</v>
      </c>
      <c r="J302" s="116">
        <v>40</v>
      </c>
      <c r="K302" s="116">
        <f>40+2</f>
        <v>42</v>
      </c>
      <c r="L302" s="116">
        <v>40</v>
      </c>
      <c r="M302" s="116">
        <f>40-2</f>
        <v>38</v>
      </c>
      <c r="N302" s="116">
        <f t="shared" si="3"/>
        <v>40</v>
      </c>
      <c r="O302" s="116">
        <v>40</v>
      </c>
      <c r="P302" s="116">
        <v>39</v>
      </c>
    </row>
    <row r="303" spans="1:16" ht="40.799999999999997">
      <c r="A303" s="102"/>
      <c r="B303" s="103"/>
      <c r="C303" s="103"/>
      <c r="D303" s="100">
        <v>291</v>
      </c>
      <c r="E303" s="104" t="s">
        <v>341</v>
      </c>
      <c r="F303" s="107" t="s">
        <v>174</v>
      </c>
      <c r="G303" s="105" t="s">
        <v>468</v>
      </c>
      <c r="H303" s="107" t="s">
        <v>175</v>
      </c>
      <c r="I303" s="106" t="s">
        <v>186</v>
      </c>
      <c r="J303" s="116">
        <f>39+2</f>
        <v>41</v>
      </c>
      <c r="K303" s="116">
        <f>39+2</f>
        <v>41</v>
      </c>
      <c r="L303" s="116">
        <v>39</v>
      </c>
      <c r="M303" s="116">
        <f>39-2-2</f>
        <v>35</v>
      </c>
      <c r="N303" s="116">
        <f t="shared" si="3"/>
        <v>39</v>
      </c>
      <c r="O303" s="116">
        <v>39</v>
      </c>
      <c r="P303" s="116">
        <v>45</v>
      </c>
    </row>
    <row r="304" spans="1:16" ht="40.799999999999997">
      <c r="A304" s="102"/>
      <c r="B304" s="103"/>
      <c r="C304" s="103"/>
      <c r="D304" s="100">
        <v>292</v>
      </c>
      <c r="E304" s="104" t="s">
        <v>166</v>
      </c>
      <c r="F304" s="105" t="s">
        <v>174</v>
      </c>
      <c r="G304" s="107" t="s">
        <v>351</v>
      </c>
      <c r="H304" s="107" t="s">
        <v>175</v>
      </c>
      <c r="I304" s="106" t="s">
        <v>186</v>
      </c>
      <c r="J304" s="116">
        <v>44</v>
      </c>
      <c r="K304" s="116">
        <f>44-1</f>
        <v>43</v>
      </c>
      <c r="L304" s="116">
        <v>44</v>
      </c>
      <c r="M304" s="116">
        <f>44+1</f>
        <v>45</v>
      </c>
      <c r="N304" s="116">
        <f t="shared" si="3"/>
        <v>44</v>
      </c>
      <c r="O304" s="116">
        <v>42</v>
      </c>
      <c r="P304" s="116">
        <v>50</v>
      </c>
    </row>
    <row r="305" spans="1:16" ht="40.799999999999997">
      <c r="A305" s="102">
        <v>11</v>
      </c>
      <c r="B305" s="103" t="s">
        <v>469</v>
      </c>
      <c r="C305" s="103" t="s">
        <v>436</v>
      </c>
      <c r="D305" s="100">
        <v>293</v>
      </c>
      <c r="E305" s="104" t="s">
        <v>341</v>
      </c>
      <c r="F305" s="105" t="s">
        <v>174</v>
      </c>
      <c r="G305" s="107" t="s">
        <v>468</v>
      </c>
      <c r="H305" s="107" t="s">
        <v>175</v>
      </c>
      <c r="I305" s="106" t="s">
        <v>309</v>
      </c>
      <c r="J305" s="116">
        <v>72</v>
      </c>
      <c r="K305" s="116">
        <f>70-4</f>
        <v>66</v>
      </c>
      <c r="L305" s="116">
        <v>60</v>
      </c>
      <c r="M305" s="116">
        <f>77+4</f>
        <v>81</v>
      </c>
      <c r="N305" s="116">
        <f t="shared" si="3"/>
        <v>70</v>
      </c>
      <c r="O305" s="116">
        <v>66</v>
      </c>
      <c r="P305" s="116">
        <v>52</v>
      </c>
    </row>
    <row r="306" spans="1:16" ht="40.799999999999997">
      <c r="A306" s="102"/>
      <c r="B306" s="103"/>
      <c r="C306" s="103"/>
      <c r="D306" s="100">
        <v>294</v>
      </c>
      <c r="E306" s="104" t="s">
        <v>341</v>
      </c>
      <c r="F306" s="105" t="s">
        <v>174</v>
      </c>
      <c r="G306" s="107" t="s">
        <v>455</v>
      </c>
      <c r="H306" s="107" t="s">
        <v>175</v>
      </c>
      <c r="I306" s="106" t="s">
        <v>339</v>
      </c>
      <c r="J306" s="116">
        <v>69</v>
      </c>
      <c r="K306" s="116">
        <v>69</v>
      </c>
      <c r="L306" s="116">
        <v>77</v>
      </c>
      <c r="M306" s="116">
        <v>77</v>
      </c>
      <c r="N306" s="116">
        <f t="shared" si="3"/>
        <v>73</v>
      </c>
      <c r="O306" s="116">
        <v>73</v>
      </c>
      <c r="P306" s="116">
        <v>72</v>
      </c>
    </row>
    <row r="307" spans="1:16" ht="40.799999999999997">
      <c r="A307" s="102"/>
      <c r="B307" s="103"/>
      <c r="C307" s="103"/>
      <c r="D307" s="100">
        <v>295</v>
      </c>
      <c r="E307" s="104" t="s">
        <v>341</v>
      </c>
      <c r="F307" s="105" t="s">
        <v>174</v>
      </c>
      <c r="G307" s="107" t="s">
        <v>455</v>
      </c>
      <c r="H307" s="107" t="s">
        <v>175</v>
      </c>
      <c r="I307" s="106" t="s">
        <v>309</v>
      </c>
      <c r="J307" s="116">
        <v>32</v>
      </c>
      <c r="K307" s="116">
        <f>30-1</f>
        <v>29</v>
      </c>
      <c r="L307" s="116">
        <v>20</v>
      </c>
      <c r="M307" s="116">
        <f>38+1</f>
        <v>39</v>
      </c>
      <c r="N307" s="116">
        <f t="shared" si="3"/>
        <v>30</v>
      </c>
      <c r="O307" s="116">
        <v>33</v>
      </c>
      <c r="P307" s="116">
        <v>41</v>
      </c>
    </row>
    <row r="308" spans="1:16" ht="40.799999999999997">
      <c r="A308" s="102"/>
      <c r="B308" s="103"/>
      <c r="C308" s="103"/>
      <c r="D308" s="100">
        <v>296</v>
      </c>
      <c r="E308" s="104" t="s">
        <v>341</v>
      </c>
      <c r="F308" s="105" t="s">
        <v>174</v>
      </c>
      <c r="G308" s="107" t="s">
        <v>455</v>
      </c>
      <c r="H308" s="107" t="s">
        <v>175</v>
      </c>
      <c r="I308" s="106" t="s">
        <v>227</v>
      </c>
      <c r="J308" s="116">
        <v>63</v>
      </c>
      <c r="K308" s="116">
        <f>61+1</f>
        <v>62</v>
      </c>
      <c r="L308" s="116">
        <v>50</v>
      </c>
      <c r="M308" s="116">
        <f>63-1</f>
        <v>62</v>
      </c>
      <c r="N308" s="116">
        <f t="shared" si="3"/>
        <v>59</v>
      </c>
      <c r="O308" s="116">
        <v>59</v>
      </c>
      <c r="P308" s="116">
        <v>59</v>
      </c>
    </row>
    <row r="309" spans="1:16" ht="40.799999999999997">
      <c r="A309" s="102"/>
      <c r="B309" s="103"/>
      <c r="C309" s="103"/>
      <c r="D309" s="100">
        <v>297</v>
      </c>
      <c r="E309" s="104" t="s">
        <v>341</v>
      </c>
      <c r="F309" s="105" t="s">
        <v>174</v>
      </c>
      <c r="G309" s="107" t="s">
        <v>455</v>
      </c>
      <c r="H309" s="107" t="s">
        <v>175</v>
      </c>
      <c r="I309" s="106" t="s">
        <v>343</v>
      </c>
      <c r="J309" s="116">
        <v>73</v>
      </c>
      <c r="K309" s="116">
        <v>73</v>
      </c>
      <c r="L309" s="116">
        <v>62</v>
      </c>
      <c r="M309" s="116">
        <v>79</v>
      </c>
      <c r="N309" s="116">
        <f t="shared" si="3"/>
        <v>72</v>
      </c>
      <c r="O309" s="116">
        <v>73</v>
      </c>
      <c r="P309" s="116">
        <v>71</v>
      </c>
    </row>
    <row r="310" spans="1:16" ht="40.799999999999997">
      <c r="A310" s="102"/>
      <c r="B310" s="103"/>
      <c r="C310" s="103"/>
      <c r="D310" s="100">
        <v>298</v>
      </c>
      <c r="E310" s="104" t="s">
        <v>166</v>
      </c>
      <c r="F310" s="105" t="s">
        <v>174</v>
      </c>
      <c r="G310" s="107" t="s">
        <v>332</v>
      </c>
      <c r="H310" s="107" t="s">
        <v>175</v>
      </c>
      <c r="I310" s="118" t="s">
        <v>266</v>
      </c>
      <c r="J310" s="116">
        <v>77</v>
      </c>
      <c r="K310" s="116">
        <v>76</v>
      </c>
      <c r="L310" s="116">
        <v>83</v>
      </c>
      <c r="M310" s="116">
        <v>99</v>
      </c>
      <c r="N310" s="116">
        <f t="shared" si="3"/>
        <v>84</v>
      </c>
      <c r="O310" s="116">
        <v>89</v>
      </c>
      <c r="P310" s="116">
        <v>87</v>
      </c>
    </row>
    <row r="311" spans="1:16" ht="40.799999999999997">
      <c r="A311" s="102"/>
      <c r="B311" s="103"/>
      <c r="C311" s="103"/>
      <c r="D311" s="100">
        <v>299</v>
      </c>
      <c r="E311" s="104" t="s">
        <v>341</v>
      </c>
      <c r="F311" s="105" t="s">
        <v>174</v>
      </c>
      <c r="G311" s="107" t="s">
        <v>455</v>
      </c>
      <c r="H311" s="107" t="s">
        <v>175</v>
      </c>
      <c r="I311" s="106" t="s">
        <v>202</v>
      </c>
      <c r="J311" s="116">
        <v>56</v>
      </c>
      <c r="K311" s="116">
        <f>54+2</f>
        <v>56</v>
      </c>
      <c r="L311" s="116">
        <v>42</v>
      </c>
      <c r="M311" s="116">
        <f>58-2</f>
        <v>56</v>
      </c>
      <c r="N311" s="116">
        <f t="shared" si="3"/>
        <v>53</v>
      </c>
      <c r="O311" s="116">
        <v>55</v>
      </c>
      <c r="P311" s="116">
        <v>55</v>
      </c>
    </row>
    <row r="312" spans="1:16" ht="40.799999999999997">
      <c r="A312" s="102"/>
      <c r="B312" s="103"/>
      <c r="C312" s="103"/>
      <c r="D312" s="100">
        <v>300</v>
      </c>
      <c r="E312" s="104" t="s">
        <v>341</v>
      </c>
      <c r="F312" s="105" t="s">
        <v>174</v>
      </c>
      <c r="G312" s="107" t="s">
        <v>455</v>
      </c>
      <c r="H312" s="107" t="s">
        <v>175</v>
      </c>
      <c r="I312" s="106" t="s">
        <v>176</v>
      </c>
      <c r="J312" s="116">
        <v>59</v>
      </c>
      <c r="K312" s="116">
        <v>58</v>
      </c>
      <c r="L312" s="116">
        <v>43</v>
      </c>
      <c r="M312" s="116">
        <v>59</v>
      </c>
      <c r="N312" s="116">
        <f t="shared" si="3"/>
        <v>55</v>
      </c>
      <c r="O312" s="116">
        <v>55</v>
      </c>
      <c r="P312" s="116">
        <v>58</v>
      </c>
    </row>
    <row r="313" spans="1:16" ht="40.799999999999997">
      <c r="A313" s="102">
        <v>11</v>
      </c>
      <c r="B313" s="103" t="s">
        <v>470</v>
      </c>
      <c r="C313" s="103" t="s">
        <v>471</v>
      </c>
      <c r="D313" s="100">
        <v>301</v>
      </c>
      <c r="E313" s="104" t="s">
        <v>341</v>
      </c>
      <c r="F313" s="105" t="s">
        <v>174</v>
      </c>
      <c r="G313" s="107" t="s">
        <v>472</v>
      </c>
      <c r="H313" s="107" t="s">
        <v>175</v>
      </c>
      <c r="I313" s="106" t="s">
        <v>343</v>
      </c>
      <c r="J313" s="116">
        <v>41</v>
      </c>
      <c r="K313" s="116">
        <v>41</v>
      </c>
      <c r="L313" s="116">
        <v>31</v>
      </c>
      <c r="M313" s="116">
        <v>31</v>
      </c>
      <c r="N313" s="116">
        <f t="shared" si="3"/>
        <v>36</v>
      </c>
      <c r="O313" s="116">
        <v>31</v>
      </c>
      <c r="P313" s="116">
        <v>41</v>
      </c>
    </row>
    <row r="314" spans="1:16" ht="40.799999999999997">
      <c r="A314" s="102"/>
      <c r="B314" s="103"/>
      <c r="C314" s="103"/>
      <c r="D314" s="100">
        <v>302</v>
      </c>
      <c r="E314" s="104" t="s">
        <v>341</v>
      </c>
      <c r="F314" s="104" t="s">
        <v>167</v>
      </c>
      <c r="G314" s="107" t="s">
        <v>473</v>
      </c>
      <c r="H314" s="107" t="s">
        <v>175</v>
      </c>
      <c r="I314" s="106" t="s">
        <v>222</v>
      </c>
      <c r="J314" s="116">
        <v>25</v>
      </c>
      <c r="K314" s="116">
        <f>25-1</f>
        <v>24</v>
      </c>
      <c r="L314" s="116">
        <v>9</v>
      </c>
      <c r="M314" s="116">
        <f>26+1</f>
        <v>27</v>
      </c>
      <c r="N314" s="116">
        <f t="shared" si="3"/>
        <v>21</v>
      </c>
      <c r="O314" s="116">
        <v>23</v>
      </c>
      <c r="P314" s="116">
        <v>23</v>
      </c>
    </row>
    <row r="315" spans="1:16" ht="40.799999999999997">
      <c r="A315" s="102">
        <v>11</v>
      </c>
      <c r="B315" s="103" t="s">
        <v>474</v>
      </c>
      <c r="C315" s="103" t="s">
        <v>396</v>
      </c>
      <c r="D315" s="100">
        <v>303</v>
      </c>
      <c r="E315" s="104" t="s">
        <v>341</v>
      </c>
      <c r="F315" s="104" t="s">
        <v>167</v>
      </c>
      <c r="G315" s="107" t="s">
        <v>473</v>
      </c>
      <c r="H315" s="107" t="s">
        <v>175</v>
      </c>
      <c r="I315" s="106" t="s">
        <v>333</v>
      </c>
      <c r="J315" s="116">
        <f>13-1</f>
        <v>12</v>
      </c>
      <c r="K315" s="116">
        <f>13-2</f>
        <v>11</v>
      </c>
      <c r="L315" s="116">
        <v>5</v>
      </c>
      <c r="M315" s="116">
        <f>15+1-2+2</f>
        <v>16</v>
      </c>
      <c r="N315" s="116">
        <f t="shared" si="3"/>
        <v>11</v>
      </c>
      <c r="O315" s="141">
        <v>14</v>
      </c>
      <c r="P315" s="141">
        <v>15</v>
      </c>
    </row>
    <row r="316" spans="1:16" ht="40.799999999999997">
      <c r="A316" s="102">
        <v>11</v>
      </c>
      <c r="B316" s="103" t="s">
        <v>475</v>
      </c>
      <c r="C316" s="103" t="s">
        <v>424</v>
      </c>
      <c r="D316" s="100">
        <v>304</v>
      </c>
      <c r="E316" s="104" t="s">
        <v>341</v>
      </c>
      <c r="F316" s="105" t="s">
        <v>174</v>
      </c>
      <c r="G316" s="107" t="s">
        <v>476</v>
      </c>
      <c r="H316" s="107" t="s">
        <v>175</v>
      </c>
      <c r="I316" s="106" t="s">
        <v>187</v>
      </c>
      <c r="J316" s="116">
        <v>12</v>
      </c>
      <c r="K316" s="116">
        <v>12</v>
      </c>
      <c r="L316" s="116">
        <v>0</v>
      </c>
      <c r="M316" s="116">
        <v>0</v>
      </c>
      <c r="N316" s="116">
        <f t="shared" si="3"/>
        <v>6</v>
      </c>
      <c r="O316" s="116">
        <v>0</v>
      </c>
      <c r="P316" s="116">
        <v>0</v>
      </c>
    </row>
    <row r="317" spans="1:16" ht="30.6">
      <c r="A317" s="102">
        <v>11</v>
      </c>
      <c r="B317" s="103" t="s">
        <v>477</v>
      </c>
      <c r="C317" s="103" t="s">
        <v>268</v>
      </c>
      <c r="D317" s="100">
        <v>305</v>
      </c>
      <c r="E317" s="104" t="s">
        <v>166</v>
      </c>
      <c r="F317" s="104" t="s">
        <v>167</v>
      </c>
      <c r="G317" s="107" t="s">
        <v>478</v>
      </c>
      <c r="H317" s="107" t="s">
        <v>175</v>
      </c>
      <c r="I317" s="106" t="s">
        <v>222</v>
      </c>
      <c r="J317" s="116">
        <v>33</v>
      </c>
      <c r="K317" s="116">
        <v>32</v>
      </c>
      <c r="L317" s="116">
        <v>0</v>
      </c>
      <c r="M317" s="116">
        <v>0</v>
      </c>
      <c r="N317" s="116">
        <f t="shared" si="3"/>
        <v>16</v>
      </c>
      <c r="O317" s="116">
        <v>0</v>
      </c>
      <c r="P317" s="116">
        <v>0</v>
      </c>
    </row>
    <row r="318" spans="1:16" ht="30.6">
      <c r="A318" s="102"/>
      <c r="B318" s="103"/>
      <c r="C318" s="103"/>
      <c r="D318" s="100">
        <v>306</v>
      </c>
      <c r="E318" s="104" t="s">
        <v>166</v>
      </c>
      <c r="F318" s="105" t="s">
        <v>167</v>
      </c>
      <c r="G318" s="107" t="s">
        <v>364</v>
      </c>
      <c r="H318" s="106" t="s">
        <v>169</v>
      </c>
      <c r="I318" s="106" t="s">
        <v>358</v>
      </c>
      <c r="J318" s="116">
        <v>34</v>
      </c>
      <c r="K318" s="116">
        <v>32</v>
      </c>
      <c r="L318" s="116">
        <v>31</v>
      </c>
      <c r="M318" s="116">
        <v>37</v>
      </c>
      <c r="N318" s="116">
        <f t="shared" si="3"/>
        <v>34</v>
      </c>
      <c r="O318" s="116">
        <v>36</v>
      </c>
      <c r="P318" s="116">
        <v>36</v>
      </c>
    </row>
    <row r="319" spans="1:16" ht="30.6">
      <c r="A319" s="102"/>
      <c r="B319" s="103"/>
      <c r="C319" s="103"/>
      <c r="D319" s="100">
        <v>307</v>
      </c>
      <c r="E319" s="104" t="s">
        <v>166</v>
      </c>
      <c r="F319" s="105" t="s">
        <v>174</v>
      </c>
      <c r="G319" s="107" t="s">
        <v>364</v>
      </c>
      <c r="H319" s="107" t="s">
        <v>175</v>
      </c>
      <c r="I319" s="106" t="s">
        <v>244</v>
      </c>
      <c r="J319" s="116">
        <v>75</v>
      </c>
      <c r="K319" s="116">
        <v>74</v>
      </c>
      <c r="L319" s="116">
        <v>56</v>
      </c>
      <c r="M319" s="116">
        <v>75</v>
      </c>
      <c r="N319" s="116">
        <f t="shared" si="3"/>
        <v>70</v>
      </c>
      <c r="O319" s="116">
        <v>70</v>
      </c>
      <c r="P319" s="116">
        <v>70</v>
      </c>
    </row>
    <row r="320" spans="1:16" ht="30.6">
      <c r="A320" s="102"/>
      <c r="B320" s="103"/>
      <c r="C320" s="103"/>
      <c r="D320" s="100">
        <v>308</v>
      </c>
      <c r="E320" s="104" t="s">
        <v>166</v>
      </c>
      <c r="F320" s="105" t="s">
        <v>174</v>
      </c>
      <c r="G320" s="107" t="s">
        <v>364</v>
      </c>
      <c r="H320" s="107" t="s">
        <v>175</v>
      </c>
      <c r="I320" s="106" t="s">
        <v>170</v>
      </c>
      <c r="J320" s="116">
        <v>48</v>
      </c>
      <c r="K320" s="116">
        <v>48</v>
      </c>
      <c r="L320" s="116">
        <v>24</v>
      </c>
      <c r="M320" s="116">
        <v>24</v>
      </c>
      <c r="N320" s="116">
        <f t="shared" si="3"/>
        <v>36</v>
      </c>
      <c r="O320" s="116">
        <v>36</v>
      </c>
      <c r="P320" s="116">
        <v>36</v>
      </c>
    </row>
    <row r="321" spans="1:16" ht="30.6">
      <c r="A321" s="102"/>
      <c r="B321" s="103"/>
      <c r="C321" s="103"/>
      <c r="D321" s="100">
        <v>309</v>
      </c>
      <c r="E321" s="104" t="s">
        <v>166</v>
      </c>
      <c r="F321" s="105" t="s">
        <v>174</v>
      </c>
      <c r="G321" s="107" t="s">
        <v>479</v>
      </c>
      <c r="H321" s="107" t="s">
        <v>175</v>
      </c>
      <c r="I321" s="106" t="s">
        <v>222</v>
      </c>
      <c r="J321" s="116">
        <v>25</v>
      </c>
      <c r="K321" s="116">
        <v>24</v>
      </c>
      <c r="L321" s="116">
        <v>24</v>
      </c>
      <c r="M321" s="116">
        <v>39</v>
      </c>
      <c r="N321" s="116">
        <f t="shared" si="3"/>
        <v>28</v>
      </c>
      <c r="O321" s="116">
        <v>28</v>
      </c>
      <c r="P321" s="116">
        <v>28</v>
      </c>
    </row>
    <row r="322" spans="1:16" ht="30.6">
      <c r="A322" s="102"/>
      <c r="B322" s="103"/>
      <c r="C322" s="103"/>
      <c r="D322" s="100">
        <v>310</v>
      </c>
      <c r="E322" s="104" t="s">
        <v>166</v>
      </c>
      <c r="F322" s="104" t="s">
        <v>167</v>
      </c>
      <c r="G322" s="107" t="s">
        <v>332</v>
      </c>
      <c r="H322" s="107" t="s">
        <v>169</v>
      </c>
      <c r="I322" s="106" t="s">
        <v>176</v>
      </c>
      <c r="J322" s="116">
        <v>53</v>
      </c>
      <c r="K322" s="116">
        <v>48</v>
      </c>
      <c r="L322" s="116">
        <v>50</v>
      </c>
      <c r="M322" s="116">
        <v>59</v>
      </c>
      <c r="N322" s="116">
        <f t="shared" si="3"/>
        <v>53</v>
      </c>
      <c r="O322" s="116">
        <v>58</v>
      </c>
      <c r="P322" s="116">
        <v>58</v>
      </c>
    </row>
    <row r="323" spans="1:16" ht="40.799999999999997">
      <c r="A323" s="102"/>
      <c r="B323" s="103"/>
      <c r="C323" s="103"/>
      <c r="D323" s="100">
        <v>311</v>
      </c>
      <c r="E323" s="104" t="s">
        <v>166</v>
      </c>
      <c r="F323" s="104" t="s">
        <v>167</v>
      </c>
      <c r="G323" s="107" t="s">
        <v>344</v>
      </c>
      <c r="H323" s="107" t="s">
        <v>169</v>
      </c>
      <c r="I323" s="106" t="s">
        <v>266</v>
      </c>
      <c r="J323" s="116">
        <v>0</v>
      </c>
      <c r="K323" s="116">
        <v>0</v>
      </c>
      <c r="L323" s="116">
        <v>5</v>
      </c>
      <c r="M323" s="116">
        <v>15</v>
      </c>
      <c r="N323" s="116">
        <f t="shared" si="3"/>
        <v>5</v>
      </c>
      <c r="O323" s="116">
        <v>30</v>
      </c>
      <c r="P323" s="116">
        <v>45</v>
      </c>
    </row>
    <row r="324" spans="1:16" ht="40.799999999999997">
      <c r="A324" s="102"/>
      <c r="B324" s="103"/>
      <c r="C324" s="103"/>
      <c r="D324" s="100">
        <v>312</v>
      </c>
      <c r="E324" s="104" t="s">
        <v>166</v>
      </c>
      <c r="F324" s="105" t="s">
        <v>174</v>
      </c>
      <c r="G324" s="107" t="s">
        <v>344</v>
      </c>
      <c r="H324" s="107" t="s">
        <v>175</v>
      </c>
      <c r="I324" s="106" t="s">
        <v>266</v>
      </c>
      <c r="J324" s="116">
        <v>0</v>
      </c>
      <c r="K324" s="116">
        <v>0</v>
      </c>
      <c r="L324" s="116">
        <v>8</v>
      </c>
      <c r="M324" s="116">
        <v>25</v>
      </c>
      <c r="N324" s="116">
        <f t="shared" si="3"/>
        <v>8</v>
      </c>
      <c r="O324" s="116">
        <v>50</v>
      </c>
      <c r="P324" s="116">
        <v>75</v>
      </c>
    </row>
    <row r="325" spans="1:16" ht="40.799999999999997">
      <c r="A325" s="102"/>
      <c r="B325" s="103"/>
      <c r="C325" s="103"/>
      <c r="D325" s="100">
        <v>313</v>
      </c>
      <c r="E325" s="104" t="s">
        <v>166</v>
      </c>
      <c r="F325" s="104" t="s">
        <v>167</v>
      </c>
      <c r="G325" s="107" t="s">
        <v>332</v>
      </c>
      <c r="H325" s="107" t="s">
        <v>169</v>
      </c>
      <c r="I325" s="106" t="s">
        <v>266</v>
      </c>
      <c r="J325" s="116">
        <v>9</v>
      </c>
      <c r="K325" s="116">
        <v>8</v>
      </c>
      <c r="L325" s="116">
        <v>8</v>
      </c>
      <c r="M325" s="116">
        <v>8</v>
      </c>
      <c r="N325" s="116">
        <f t="shared" si="3"/>
        <v>8</v>
      </c>
      <c r="O325" s="116">
        <v>8</v>
      </c>
      <c r="P325" s="116">
        <v>0</v>
      </c>
    </row>
    <row r="326" spans="1:16" ht="30.6">
      <c r="A326" s="102"/>
      <c r="B326" s="103"/>
      <c r="C326" s="103"/>
      <c r="D326" s="100">
        <v>314</v>
      </c>
      <c r="E326" s="104" t="s">
        <v>166</v>
      </c>
      <c r="F326" s="104" t="s">
        <v>167</v>
      </c>
      <c r="G326" s="107" t="s">
        <v>332</v>
      </c>
      <c r="H326" s="106" t="s">
        <v>169</v>
      </c>
      <c r="I326" s="106" t="s">
        <v>381</v>
      </c>
      <c r="J326" s="116">
        <v>42</v>
      </c>
      <c r="K326" s="116">
        <v>42</v>
      </c>
      <c r="L326" s="116">
        <v>32</v>
      </c>
      <c r="M326" s="116">
        <v>40</v>
      </c>
      <c r="N326" s="116">
        <f t="shared" si="3"/>
        <v>39</v>
      </c>
      <c r="O326" s="116">
        <v>40</v>
      </c>
      <c r="P326" s="116">
        <v>41</v>
      </c>
    </row>
    <row r="327" spans="1:16" ht="40.799999999999997">
      <c r="A327" s="102"/>
      <c r="B327" s="103"/>
      <c r="C327" s="103"/>
      <c r="D327" s="100">
        <v>315</v>
      </c>
      <c r="E327" s="104" t="s">
        <v>341</v>
      </c>
      <c r="F327" s="105" t="s">
        <v>174</v>
      </c>
      <c r="G327" s="107" t="s">
        <v>480</v>
      </c>
      <c r="H327" s="107" t="s">
        <v>175</v>
      </c>
      <c r="I327" s="106" t="s">
        <v>283</v>
      </c>
      <c r="J327" s="116">
        <v>22</v>
      </c>
      <c r="K327" s="116">
        <v>22</v>
      </c>
      <c r="L327" s="116">
        <v>21</v>
      </c>
      <c r="M327" s="116">
        <v>21</v>
      </c>
      <c r="N327" s="116">
        <f t="shared" si="3"/>
        <v>22</v>
      </c>
      <c r="O327" s="116">
        <v>21</v>
      </c>
      <c r="P327" s="116">
        <v>29</v>
      </c>
    </row>
    <row r="328" spans="1:16" ht="30.6">
      <c r="A328" s="102">
        <v>11</v>
      </c>
      <c r="B328" s="103" t="s">
        <v>481</v>
      </c>
      <c r="C328" s="103" t="s">
        <v>235</v>
      </c>
      <c r="D328" s="100">
        <v>316</v>
      </c>
      <c r="E328" s="104" t="s">
        <v>166</v>
      </c>
      <c r="F328" s="104" t="s">
        <v>167</v>
      </c>
      <c r="G328" s="107" t="s">
        <v>332</v>
      </c>
      <c r="H328" s="106" t="s">
        <v>169</v>
      </c>
      <c r="I328" s="106" t="s">
        <v>283</v>
      </c>
      <c r="J328" s="116">
        <v>64</v>
      </c>
      <c r="K328" s="116">
        <v>60</v>
      </c>
      <c r="L328" s="116">
        <v>48</v>
      </c>
      <c r="M328" s="116">
        <v>48</v>
      </c>
      <c r="N328" s="116">
        <f t="shared" si="3"/>
        <v>55</v>
      </c>
      <c r="O328" s="116">
        <v>41</v>
      </c>
      <c r="P328" s="116">
        <v>24</v>
      </c>
    </row>
    <row r="329" spans="1:16" ht="30.6">
      <c r="A329" s="102"/>
      <c r="B329" s="103"/>
      <c r="C329" s="103"/>
      <c r="D329" s="100">
        <v>317</v>
      </c>
      <c r="E329" s="104" t="s">
        <v>166</v>
      </c>
      <c r="F329" s="105" t="s">
        <v>174</v>
      </c>
      <c r="G329" s="107" t="s">
        <v>332</v>
      </c>
      <c r="H329" s="107" t="s">
        <v>175</v>
      </c>
      <c r="I329" s="106" t="s">
        <v>321</v>
      </c>
      <c r="J329" s="116">
        <v>84</v>
      </c>
      <c r="K329" s="116">
        <v>82</v>
      </c>
      <c r="L329" s="116">
        <v>78</v>
      </c>
      <c r="M329" s="116">
        <v>89</v>
      </c>
      <c r="N329" s="116">
        <f t="shared" si="3"/>
        <v>83</v>
      </c>
      <c r="O329" s="116">
        <v>82</v>
      </c>
      <c r="P329" s="116">
        <v>82</v>
      </c>
    </row>
    <row r="330" spans="1:16" ht="51">
      <c r="A330" s="102"/>
      <c r="B330" s="103"/>
      <c r="C330" s="103"/>
      <c r="D330" s="100">
        <v>318</v>
      </c>
      <c r="E330" s="104" t="s">
        <v>341</v>
      </c>
      <c r="F330" s="105" t="s">
        <v>174</v>
      </c>
      <c r="G330" s="107" t="s">
        <v>482</v>
      </c>
      <c r="H330" s="107" t="s">
        <v>175</v>
      </c>
      <c r="I330" s="106" t="s">
        <v>207</v>
      </c>
      <c r="J330" s="116">
        <v>24</v>
      </c>
      <c r="K330" s="116">
        <v>23</v>
      </c>
      <c r="L330" s="116">
        <v>39</v>
      </c>
      <c r="M330" s="116">
        <v>70</v>
      </c>
      <c r="N330" s="116">
        <f t="shared" si="3"/>
        <v>39</v>
      </c>
      <c r="O330" s="116">
        <v>81</v>
      </c>
      <c r="P330" s="116">
        <v>122</v>
      </c>
    </row>
    <row r="331" spans="1:16" ht="51">
      <c r="A331" s="102"/>
      <c r="B331" s="103"/>
      <c r="C331" s="103"/>
      <c r="D331" s="100">
        <v>319</v>
      </c>
      <c r="E331" s="104" t="s">
        <v>166</v>
      </c>
      <c r="F331" s="105" t="s">
        <v>174</v>
      </c>
      <c r="G331" s="107" t="s">
        <v>483</v>
      </c>
      <c r="H331" s="107" t="s">
        <v>175</v>
      </c>
      <c r="I331" s="106" t="s">
        <v>207</v>
      </c>
      <c r="J331" s="116">
        <v>0</v>
      </c>
      <c r="K331" s="116">
        <v>0</v>
      </c>
      <c r="L331" s="116">
        <v>17</v>
      </c>
      <c r="M331" s="116">
        <v>49</v>
      </c>
      <c r="N331" s="116">
        <f t="shared" si="3"/>
        <v>17</v>
      </c>
      <c r="O331" s="116">
        <v>62</v>
      </c>
      <c r="P331" s="116">
        <v>103</v>
      </c>
    </row>
    <row r="332" spans="1:16" ht="51">
      <c r="A332" s="102"/>
      <c r="B332" s="103"/>
      <c r="C332" s="103"/>
      <c r="D332" s="100">
        <v>320</v>
      </c>
      <c r="E332" s="104" t="s">
        <v>166</v>
      </c>
      <c r="F332" s="105" t="s">
        <v>174</v>
      </c>
      <c r="G332" s="107" t="s">
        <v>332</v>
      </c>
      <c r="H332" s="107" t="s">
        <v>175</v>
      </c>
      <c r="I332" s="106" t="s">
        <v>207</v>
      </c>
      <c r="J332" s="116">
        <v>349</v>
      </c>
      <c r="K332" s="116">
        <v>345</v>
      </c>
      <c r="L332" s="116">
        <v>307</v>
      </c>
      <c r="M332" s="116">
        <v>352</v>
      </c>
      <c r="N332" s="116">
        <f t="shared" si="3"/>
        <v>338</v>
      </c>
      <c r="O332" s="116">
        <v>312</v>
      </c>
      <c r="P332" s="116">
        <v>249</v>
      </c>
    </row>
    <row r="333" spans="1:16" ht="30.6">
      <c r="A333" s="102"/>
      <c r="B333" s="103"/>
      <c r="C333" s="103"/>
      <c r="D333" s="100">
        <v>321</v>
      </c>
      <c r="E333" s="104" t="s">
        <v>166</v>
      </c>
      <c r="F333" s="105" t="s">
        <v>174</v>
      </c>
      <c r="G333" s="107" t="s">
        <v>332</v>
      </c>
      <c r="H333" s="107" t="s">
        <v>175</v>
      </c>
      <c r="I333" s="106" t="s">
        <v>214</v>
      </c>
      <c r="J333" s="116">
        <v>76</v>
      </c>
      <c r="K333" s="116">
        <f>76-6</f>
        <v>70</v>
      </c>
      <c r="L333" s="116">
        <v>70</v>
      </c>
      <c r="M333" s="116">
        <f>80+6</f>
        <v>86</v>
      </c>
      <c r="N333" s="116">
        <f t="shared" si="3"/>
        <v>76</v>
      </c>
      <c r="O333" s="116">
        <v>75</v>
      </c>
      <c r="P333" s="116">
        <v>75</v>
      </c>
    </row>
    <row r="334" spans="1:16" ht="40.799999999999997">
      <c r="A334" s="102"/>
      <c r="B334" s="103"/>
      <c r="C334" s="103"/>
      <c r="D334" s="100">
        <v>322</v>
      </c>
      <c r="E334" s="104" t="s">
        <v>341</v>
      </c>
      <c r="F334" s="119" t="s">
        <v>174</v>
      </c>
      <c r="G334" s="104" t="s">
        <v>482</v>
      </c>
      <c r="H334" s="107" t="s">
        <v>175</v>
      </c>
      <c r="I334" s="106" t="s">
        <v>283</v>
      </c>
      <c r="J334" s="116">
        <v>0</v>
      </c>
      <c r="K334" s="116">
        <v>0</v>
      </c>
      <c r="L334" s="116">
        <v>0</v>
      </c>
      <c r="M334" s="116">
        <v>0</v>
      </c>
      <c r="N334" s="116">
        <f t="shared" si="3"/>
        <v>0</v>
      </c>
      <c r="O334" s="116">
        <v>8</v>
      </c>
      <c r="P334" s="116">
        <v>39</v>
      </c>
    </row>
    <row r="335" spans="1:16" ht="40.799999999999997">
      <c r="A335" s="102"/>
      <c r="B335" s="103"/>
      <c r="C335" s="103"/>
      <c r="D335" s="100">
        <v>323</v>
      </c>
      <c r="E335" s="104" t="s">
        <v>341</v>
      </c>
      <c r="F335" s="120" t="s">
        <v>174</v>
      </c>
      <c r="G335" s="121" t="s">
        <v>484</v>
      </c>
      <c r="H335" s="107" t="s">
        <v>175</v>
      </c>
      <c r="I335" s="106" t="s">
        <v>283</v>
      </c>
      <c r="J335" s="116">
        <v>45</v>
      </c>
      <c r="K335" s="116">
        <v>45</v>
      </c>
      <c r="L335" s="116">
        <v>32</v>
      </c>
      <c r="M335" s="116">
        <v>48</v>
      </c>
      <c r="N335" s="116">
        <f t="shared" si="3"/>
        <v>43</v>
      </c>
      <c r="O335" s="116">
        <v>43</v>
      </c>
      <c r="P335" s="116">
        <v>50</v>
      </c>
    </row>
    <row r="336" spans="1:16" ht="30.6">
      <c r="A336" s="102"/>
      <c r="B336" s="103"/>
      <c r="C336" s="103"/>
      <c r="D336" s="100">
        <v>324</v>
      </c>
      <c r="E336" s="105" t="s">
        <v>166</v>
      </c>
      <c r="F336" s="107" t="s">
        <v>174</v>
      </c>
      <c r="G336" s="107" t="s">
        <v>411</v>
      </c>
      <c r="H336" s="107" t="s">
        <v>175</v>
      </c>
      <c r="I336" s="106" t="s">
        <v>283</v>
      </c>
      <c r="J336" s="116">
        <v>0</v>
      </c>
      <c r="K336" s="116">
        <v>0</v>
      </c>
      <c r="L336" s="116">
        <v>8</v>
      </c>
      <c r="M336" s="116">
        <v>25</v>
      </c>
      <c r="N336" s="116">
        <f t="shared" si="3"/>
        <v>8</v>
      </c>
      <c r="O336" s="116">
        <v>33</v>
      </c>
      <c r="P336" s="116">
        <v>63</v>
      </c>
    </row>
    <row r="337" spans="1:16" ht="30.6">
      <c r="A337" s="102"/>
      <c r="B337" s="103"/>
      <c r="C337" s="103"/>
      <c r="D337" s="100">
        <v>325</v>
      </c>
      <c r="E337" s="104" t="s">
        <v>166</v>
      </c>
      <c r="F337" s="122" t="s">
        <v>174</v>
      </c>
      <c r="G337" s="115" t="s">
        <v>332</v>
      </c>
      <c r="H337" s="106" t="s">
        <v>175</v>
      </c>
      <c r="I337" s="106" t="s">
        <v>283</v>
      </c>
      <c r="J337" s="116">
        <v>71</v>
      </c>
      <c r="K337" s="116">
        <v>69</v>
      </c>
      <c r="L337" s="116">
        <v>58</v>
      </c>
      <c r="M337" s="116">
        <v>75</v>
      </c>
      <c r="N337" s="116">
        <f t="shared" si="3"/>
        <v>68</v>
      </c>
      <c r="O337" s="116">
        <v>65</v>
      </c>
      <c r="P337" s="116">
        <v>49</v>
      </c>
    </row>
    <row r="338" spans="1:16" ht="30.6">
      <c r="A338" s="102"/>
      <c r="B338" s="103"/>
      <c r="C338" s="103"/>
      <c r="D338" s="100">
        <v>326</v>
      </c>
      <c r="E338" s="104" t="s">
        <v>166</v>
      </c>
      <c r="F338" s="105" t="s">
        <v>174</v>
      </c>
      <c r="G338" s="107" t="s">
        <v>332</v>
      </c>
      <c r="H338" s="107" t="s">
        <v>175</v>
      </c>
      <c r="I338" s="106" t="s">
        <v>176</v>
      </c>
      <c r="J338" s="116">
        <v>108</v>
      </c>
      <c r="K338" s="116">
        <v>106</v>
      </c>
      <c r="L338" s="116">
        <v>92</v>
      </c>
      <c r="M338" s="116">
        <v>111</v>
      </c>
      <c r="N338" s="116">
        <f t="shared" si="3"/>
        <v>104</v>
      </c>
      <c r="O338" s="116">
        <v>100</v>
      </c>
      <c r="P338" s="116">
        <v>100</v>
      </c>
    </row>
    <row r="339" spans="1:16" ht="30.6">
      <c r="A339" s="102"/>
      <c r="B339" s="103"/>
      <c r="C339" s="103"/>
      <c r="D339" s="100">
        <v>327</v>
      </c>
      <c r="E339" s="104" t="s">
        <v>166</v>
      </c>
      <c r="F339" s="105" t="s">
        <v>167</v>
      </c>
      <c r="G339" s="107" t="s">
        <v>332</v>
      </c>
      <c r="H339" s="106" t="s">
        <v>169</v>
      </c>
      <c r="I339" s="106" t="s">
        <v>343</v>
      </c>
      <c r="J339" s="116">
        <v>12</v>
      </c>
      <c r="K339" s="116">
        <v>12</v>
      </c>
      <c r="L339" s="116">
        <v>12</v>
      </c>
      <c r="M339" s="116">
        <v>12</v>
      </c>
      <c r="N339" s="116">
        <f t="shared" si="3"/>
        <v>12</v>
      </c>
      <c r="O339" s="116">
        <v>12</v>
      </c>
      <c r="P339" s="116">
        <v>12</v>
      </c>
    </row>
    <row r="340" spans="1:16" ht="30.6">
      <c r="A340" s="102"/>
      <c r="B340" s="103"/>
      <c r="C340" s="103"/>
      <c r="D340" s="100">
        <v>328</v>
      </c>
      <c r="E340" s="104" t="s">
        <v>166</v>
      </c>
      <c r="F340" s="105" t="s">
        <v>174</v>
      </c>
      <c r="G340" s="107" t="s">
        <v>332</v>
      </c>
      <c r="H340" s="107" t="s">
        <v>175</v>
      </c>
      <c r="I340" s="106" t="s">
        <v>343</v>
      </c>
      <c r="J340" s="116">
        <v>73</v>
      </c>
      <c r="K340" s="116">
        <v>73</v>
      </c>
      <c r="L340" s="116">
        <v>81</v>
      </c>
      <c r="M340" s="116">
        <v>98</v>
      </c>
      <c r="N340" s="116">
        <f t="shared" si="3"/>
        <v>81</v>
      </c>
      <c r="O340" s="116">
        <v>95</v>
      </c>
      <c r="P340" s="116">
        <v>96</v>
      </c>
    </row>
    <row r="341" spans="1:16" ht="30.6">
      <c r="A341" s="102"/>
      <c r="B341" s="103"/>
      <c r="C341" s="103"/>
      <c r="D341" s="100">
        <v>329</v>
      </c>
      <c r="E341" s="104" t="s">
        <v>166</v>
      </c>
      <c r="F341" s="104" t="s">
        <v>167</v>
      </c>
      <c r="G341" s="107" t="s">
        <v>485</v>
      </c>
      <c r="H341" s="107" t="s">
        <v>169</v>
      </c>
      <c r="I341" s="106" t="s">
        <v>177</v>
      </c>
      <c r="J341" s="116">
        <v>14</v>
      </c>
      <c r="K341" s="116">
        <v>13</v>
      </c>
      <c r="L341" s="116">
        <v>13</v>
      </c>
      <c r="M341" s="116">
        <v>13</v>
      </c>
      <c r="N341" s="116">
        <f t="shared" si="3"/>
        <v>13</v>
      </c>
      <c r="O341" s="116">
        <v>9</v>
      </c>
      <c r="P341" s="116">
        <v>0</v>
      </c>
    </row>
    <row r="342" spans="1:16" ht="30.6">
      <c r="A342" s="102"/>
      <c r="B342" s="103"/>
      <c r="C342" s="103"/>
      <c r="D342" s="100">
        <v>330</v>
      </c>
      <c r="E342" s="104" t="s">
        <v>166</v>
      </c>
      <c r="F342" s="104" t="s">
        <v>174</v>
      </c>
      <c r="G342" s="107" t="s">
        <v>486</v>
      </c>
      <c r="H342" s="107" t="s">
        <v>175</v>
      </c>
      <c r="I342" s="106" t="s">
        <v>177</v>
      </c>
      <c r="J342" s="116">
        <v>0</v>
      </c>
      <c r="K342" s="116">
        <v>0</v>
      </c>
      <c r="L342" s="116">
        <v>0</v>
      </c>
      <c r="M342" s="116">
        <v>0</v>
      </c>
      <c r="N342" s="116">
        <f t="shared" si="3"/>
        <v>0</v>
      </c>
      <c r="O342" s="116">
        <v>8</v>
      </c>
      <c r="P342" s="116">
        <v>38</v>
      </c>
    </row>
    <row r="343" spans="1:16" ht="30.6">
      <c r="A343" s="102"/>
      <c r="B343" s="103"/>
      <c r="C343" s="103"/>
      <c r="D343" s="100">
        <v>331</v>
      </c>
      <c r="E343" s="104" t="s">
        <v>166</v>
      </c>
      <c r="F343" s="104" t="s">
        <v>167</v>
      </c>
      <c r="G343" s="107" t="s">
        <v>486</v>
      </c>
      <c r="H343" s="107" t="s">
        <v>169</v>
      </c>
      <c r="I343" s="106" t="s">
        <v>177</v>
      </c>
      <c r="J343" s="116">
        <v>0</v>
      </c>
      <c r="K343" s="116">
        <v>0</v>
      </c>
      <c r="L343" s="116">
        <v>0</v>
      </c>
      <c r="M343" s="116">
        <v>0</v>
      </c>
      <c r="N343" s="116">
        <f t="shared" si="3"/>
        <v>0</v>
      </c>
      <c r="O343" s="116">
        <v>5</v>
      </c>
      <c r="P343" s="116">
        <v>23</v>
      </c>
    </row>
    <row r="344" spans="1:16" ht="40.799999999999997">
      <c r="A344" s="102"/>
      <c r="B344" s="103"/>
      <c r="C344" s="103"/>
      <c r="D344" s="100">
        <v>332</v>
      </c>
      <c r="E344" s="104" t="s">
        <v>166</v>
      </c>
      <c r="F344" s="105" t="s">
        <v>174</v>
      </c>
      <c r="G344" s="107" t="s">
        <v>411</v>
      </c>
      <c r="H344" s="107" t="s">
        <v>175</v>
      </c>
      <c r="I344" s="106" t="s">
        <v>266</v>
      </c>
      <c r="J344" s="116">
        <v>0</v>
      </c>
      <c r="K344" s="116">
        <v>0</v>
      </c>
      <c r="L344" s="116">
        <v>8</v>
      </c>
      <c r="M344" s="116">
        <v>25</v>
      </c>
      <c r="N344" s="116">
        <f t="shared" si="3"/>
        <v>8</v>
      </c>
      <c r="O344" s="116">
        <v>25</v>
      </c>
      <c r="P344" s="116">
        <v>45</v>
      </c>
    </row>
    <row r="345" spans="1:16" ht="30.6">
      <c r="A345" s="102"/>
      <c r="B345" s="103"/>
      <c r="C345" s="103"/>
      <c r="D345" s="100">
        <v>333</v>
      </c>
      <c r="E345" s="104" t="s">
        <v>166</v>
      </c>
      <c r="F345" s="105" t="s">
        <v>167</v>
      </c>
      <c r="G345" s="107" t="s">
        <v>332</v>
      </c>
      <c r="H345" s="107" t="s">
        <v>169</v>
      </c>
      <c r="I345" s="106" t="s">
        <v>218</v>
      </c>
      <c r="J345" s="116">
        <v>14</v>
      </c>
      <c r="K345" s="116">
        <v>14</v>
      </c>
      <c r="L345" s="116">
        <v>14</v>
      </c>
      <c r="M345" s="116">
        <v>14</v>
      </c>
      <c r="N345" s="116">
        <f t="shared" si="3"/>
        <v>14</v>
      </c>
      <c r="O345" s="116">
        <v>14</v>
      </c>
      <c r="P345" s="116">
        <v>14</v>
      </c>
    </row>
    <row r="346" spans="1:16" ht="40.799999999999997">
      <c r="A346" s="102"/>
      <c r="B346" s="103"/>
      <c r="C346" s="103"/>
      <c r="D346" s="100">
        <v>334</v>
      </c>
      <c r="E346" s="104" t="s">
        <v>341</v>
      </c>
      <c r="F346" s="104" t="s">
        <v>174</v>
      </c>
      <c r="G346" s="107" t="s">
        <v>487</v>
      </c>
      <c r="H346" s="107" t="s">
        <v>175</v>
      </c>
      <c r="I346" s="106" t="s">
        <v>179</v>
      </c>
      <c r="J346" s="116">
        <v>48</v>
      </c>
      <c r="K346" s="116">
        <v>47</v>
      </c>
      <c r="L346" s="116">
        <v>55</v>
      </c>
      <c r="M346" s="116">
        <v>76</v>
      </c>
      <c r="N346" s="116">
        <f t="shared" si="3"/>
        <v>57</v>
      </c>
      <c r="O346" s="116">
        <v>57</v>
      </c>
      <c r="P346" s="116">
        <v>57</v>
      </c>
    </row>
    <row r="347" spans="1:16" ht="40.799999999999997">
      <c r="A347" s="102"/>
      <c r="B347" s="103"/>
      <c r="C347" s="103"/>
      <c r="D347" s="100">
        <v>335</v>
      </c>
      <c r="E347" s="104" t="s">
        <v>341</v>
      </c>
      <c r="F347" s="105" t="s">
        <v>174</v>
      </c>
      <c r="G347" s="107" t="s">
        <v>488</v>
      </c>
      <c r="H347" s="107" t="s">
        <v>175</v>
      </c>
      <c r="I347" s="106" t="s">
        <v>179</v>
      </c>
      <c r="J347" s="116">
        <v>0</v>
      </c>
      <c r="K347" s="116">
        <v>0</v>
      </c>
      <c r="L347" s="116">
        <v>6</v>
      </c>
      <c r="M347" s="116">
        <v>25</v>
      </c>
      <c r="N347" s="116">
        <f t="shared" si="3"/>
        <v>8</v>
      </c>
      <c r="O347" s="116">
        <v>25</v>
      </c>
      <c r="P347" s="116">
        <v>25</v>
      </c>
    </row>
    <row r="348" spans="1:16" ht="30.6">
      <c r="A348" s="102"/>
      <c r="B348" s="103"/>
      <c r="C348" s="103"/>
      <c r="D348" s="100">
        <v>336</v>
      </c>
      <c r="E348" s="123" t="s">
        <v>166</v>
      </c>
      <c r="F348" s="124" t="s">
        <v>174</v>
      </c>
      <c r="G348" s="110" t="s">
        <v>296</v>
      </c>
      <c r="H348" s="110" t="s">
        <v>175</v>
      </c>
      <c r="I348" s="125" t="s">
        <v>179</v>
      </c>
      <c r="J348" s="113">
        <v>0</v>
      </c>
      <c r="K348" s="113">
        <v>0</v>
      </c>
      <c r="L348" s="113">
        <v>6</v>
      </c>
      <c r="M348" s="113">
        <v>20</v>
      </c>
      <c r="N348" s="116">
        <f t="shared" si="3"/>
        <v>7</v>
      </c>
      <c r="O348" s="113">
        <v>7</v>
      </c>
      <c r="P348" s="113">
        <v>7</v>
      </c>
    </row>
    <row r="349" spans="1:16" ht="30.6">
      <c r="A349" s="102"/>
      <c r="B349" s="103"/>
      <c r="C349" s="103"/>
      <c r="D349" s="100">
        <v>337</v>
      </c>
      <c r="E349" s="104" t="s">
        <v>166</v>
      </c>
      <c r="F349" s="105" t="s">
        <v>174</v>
      </c>
      <c r="G349" s="107" t="s">
        <v>332</v>
      </c>
      <c r="H349" s="107" t="s">
        <v>175</v>
      </c>
      <c r="I349" s="106" t="s">
        <v>179</v>
      </c>
      <c r="J349" s="116">
        <v>67</v>
      </c>
      <c r="K349" s="116">
        <v>65</v>
      </c>
      <c r="L349" s="116">
        <v>63</v>
      </c>
      <c r="M349" s="116">
        <v>63</v>
      </c>
      <c r="N349" s="116">
        <f t="shared" si="3"/>
        <v>65</v>
      </c>
      <c r="O349" s="116">
        <v>65</v>
      </c>
      <c r="P349" s="116">
        <v>65</v>
      </c>
    </row>
    <row r="350" spans="1:16" ht="30.6">
      <c r="A350" s="102"/>
      <c r="B350" s="103"/>
      <c r="C350" s="103"/>
      <c r="D350" s="100">
        <v>338</v>
      </c>
      <c r="E350" s="104" t="s">
        <v>166</v>
      </c>
      <c r="F350" s="105" t="s">
        <v>174</v>
      </c>
      <c r="G350" s="107" t="s">
        <v>332</v>
      </c>
      <c r="H350" s="106" t="s">
        <v>169</v>
      </c>
      <c r="I350" s="106" t="s">
        <v>381</v>
      </c>
      <c r="J350" s="116">
        <v>70</v>
      </c>
      <c r="K350" s="116">
        <v>70</v>
      </c>
      <c r="L350" s="116">
        <v>78</v>
      </c>
      <c r="M350" s="116">
        <v>95</v>
      </c>
      <c r="N350" s="116">
        <f t="shared" si="3"/>
        <v>78</v>
      </c>
      <c r="O350" s="116">
        <v>91</v>
      </c>
      <c r="P350" s="116">
        <v>90</v>
      </c>
    </row>
    <row r="351" spans="1:16" ht="30.6">
      <c r="A351" s="102"/>
      <c r="B351" s="103"/>
      <c r="C351" s="103"/>
      <c r="D351" s="100">
        <v>339</v>
      </c>
      <c r="E351" s="104" t="s">
        <v>166</v>
      </c>
      <c r="F351" s="105" t="s">
        <v>174</v>
      </c>
      <c r="G351" s="107" t="s">
        <v>332</v>
      </c>
      <c r="H351" s="107" t="s">
        <v>175</v>
      </c>
      <c r="I351" s="106" t="s">
        <v>187</v>
      </c>
      <c r="J351" s="116">
        <v>31</v>
      </c>
      <c r="K351" s="116">
        <v>30</v>
      </c>
      <c r="L351" s="116">
        <v>38</v>
      </c>
      <c r="M351" s="116">
        <v>55</v>
      </c>
      <c r="N351" s="116">
        <f t="shared" si="3"/>
        <v>39</v>
      </c>
      <c r="O351" s="116">
        <v>61</v>
      </c>
      <c r="P351" s="116">
        <v>53</v>
      </c>
    </row>
    <row r="352" spans="1:16" ht="40.799999999999997">
      <c r="A352" s="102"/>
      <c r="B352" s="103"/>
      <c r="C352" s="103"/>
      <c r="D352" s="100">
        <v>340</v>
      </c>
      <c r="E352" s="104" t="s">
        <v>341</v>
      </c>
      <c r="F352" s="105" t="s">
        <v>174</v>
      </c>
      <c r="G352" s="107" t="s">
        <v>489</v>
      </c>
      <c r="H352" s="107" t="s">
        <v>175</v>
      </c>
      <c r="I352" s="106" t="s">
        <v>202</v>
      </c>
      <c r="J352" s="116">
        <f>11-1</f>
        <v>10</v>
      </c>
      <c r="K352" s="116">
        <f>11-1</f>
        <v>10</v>
      </c>
      <c r="L352" s="116">
        <v>11</v>
      </c>
      <c r="M352" s="116">
        <f>11+1+1</f>
        <v>13</v>
      </c>
      <c r="N352" s="116">
        <f t="shared" si="3"/>
        <v>11</v>
      </c>
      <c r="O352" s="116">
        <v>5</v>
      </c>
      <c r="P352" s="116">
        <v>0</v>
      </c>
    </row>
    <row r="353" spans="1:16" ht="30.6">
      <c r="A353" s="102"/>
      <c r="B353" s="103"/>
      <c r="C353" s="103"/>
      <c r="D353" s="100">
        <v>341</v>
      </c>
      <c r="E353" s="104" t="s">
        <v>166</v>
      </c>
      <c r="F353" s="105" t="s">
        <v>174</v>
      </c>
      <c r="G353" s="107" t="s">
        <v>332</v>
      </c>
      <c r="H353" s="107" t="s">
        <v>175</v>
      </c>
      <c r="I353" s="106" t="s">
        <v>202</v>
      </c>
      <c r="J353" s="116">
        <v>76</v>
      </c>
      <c r="K353" s="116">
        <f>76-2</f>
        <v>74</v>
      </c>
      <c r="L353" s="116">
        <v>83</v>
      </c>
      <c r="M353" s="116">
        <f>99+2</f>
        <v>101</v>
      </c>
      <c r="N353" s="116">
        <f t="shared" si="3"/>
        <v>84</v>
      </c>
      <c r="O353" s="116">
        <v>84</v>
      </c>
      <c r="P353" s="116">
        <v>84</v>
      </c>
    </row>
    <row r="354" spans="1:16" ht="30.6">
      <c r="A354" s="102"/>
      <c r="B354" s="103"/>
      <c r="C354" s="103"/>
      <c r="D354" s="100">
        <v>342</v>
      </c>
      <c r="E354" s="104" t="s">
        <v>166</v>
      </c>
      <c r="F354" s="104" t="s">
        <v>174</v>
      </c>
      <c r="G354" s="107" t="s">
        <v>490</v>
      </c>
      <c r="H354" s="107" t="s">
        <v>175</v>
      </c>
      <c r="I354" s="106" t="s">
        <v>199</v>
      </c>
      <c r="J354" s="116">
        <v>0</v>
      </c>
      <c r="K354" s="116">
        <v>0</v>
      </c>
      <c r="L354" s="116">
        <v>8</v>
      </c>
      <c r="M354" s="116">
        <v>23</v>
      </c>
      <c r="N354" s="116">
        <f t="shared" si="3"/>
        <v>8</v>
      </c>
      <c r="O354" s="116">
        <v>24</v>
      </c>
      <c r="P354" s="116">
        <v>24</v>
      </c>
    </row>
    <row r="355" spans="1:16" ht="30.6">
      <c r="A355" s="102">
        <v>11</v>
      </c>
      <c r="B355" s="103" t="s">
        <v>491</v>
      </c>
      <c r="C355" s="103" t="s">
        <v>335</v>
      </c>
      <c r="D355" s="100">
        <v>343</v>
      </c>
      <c r="E355" s="104" t="s">
        <v>166</v>
      </c>
      <c r="F355" s="104" t="s">
        <v>167</v>
      </c>
      <c r="G355" s="107" t="s">
        <v>490</v>
      </c>
      <c r="H355" s="106" t="s">
        <v>169</v>
      </c>
      <c r="I355" s="106" t="s">
        <v>199</v>
      </c>
      <c r="J355" s="116">
        <v>0</v>
      </c>
      <c r="K355" s="116">
        <v>0</v>
      </c>
      <c r="L355" s="116">
        <v>5</v>
      </c>
      <c r="M355" s="116">
        <v>12</v>
      </c>
      <c r="N355" s="116">
        <f t="shared" si="3"/>
        <v>4</v>
      </c>
      <c r="O355" s="116">
        <v>14</v>
      </c>
      <c r="P355" s="116">
        <v>14</v>
      </c>
    </row>
    <row r="356" spans="1:16" ht="30.6">
      <c r="A356" s="102"/>
      <c r="B356" s="103"/>
      <c r="C356" s="103"/>
      <c r="D356" s="100">
        <v>344</v>
      </c>
      <c r="E356" s="104" t="s">
        <v>166</v>
      </c>
      <c r="F356" s="104" t="s">
        <v>167</v>
      </c>
      <c r="G356" s="107" t="s">
        <v>251</v>
      </c>
      <c r="H356" s="106" t="s">
        <v>169</v>
      </c>
      <c r="I356" s="106" t="s">
        <v>199</v>
      </c>
      <c r="J356" s="116">
        <f>45-2</f>
        <v>43</v>
      </c>
      <c r="K356" s="116">
        <v>43</v>
      </c>
      <c r="L356" s="116">
        <v>47</v>
      </c>
      <c r="M356" s="116">
        <f>48+2</f>
        <v>50</v>
      </c>
      <c r="N356" s="116">
        <f t="shared" si="3"/>
        <v>46</v>
      </c>
      <c r="O356" s="116">
        <v>40</v>
      </c>
      <c r="P356" s="116">
        <v>40</v>
      </c>
    </row>
    <row r="357" spans="1:16" ht="30.6">
      <c r="A357" s="102"/>
      <c r="B357" s="103"/>
      <c r="C357" s="103"/>
      <c r="D357" s="100">
        <v>345</v>
      </c>
      <c r="E357" s="104" t="s">
        <v>166</v>
      </c>
      <c r="F357" s="105" t="s">
        <v>167</v>
      </c>
      <c r="G357" s="107" t="s">
        <v>479</v>
      </c>
      <c r="H357" s="107" t="s">
        <v>169</v>
      </c>
      <c r="I357" s="106" t="s">
        <v>222</v>
      </c>
      <c r="J357" s="116">
        <v>15</v>
      </c>
      <c r="K357" s="116">
        <v>15</v>
      </c>
      <c r="L357" s="116">
        <v>15</v>
      </c>
      <c r="M357" s="116">
        <v>15</v>
      </c>
      <c r="N357" s="116">
        <f t="shared" si="3"/>
        <v>15</v>
      </c>
      <c r="O357" s="116">
        <v>15</v>
      </c>
      <c r="P357" s="116">
        <v>15</v>
      </c>
    </row>
    <row r="358" spans="1:16" ht="30.6">
      <c r="A358" s="102">
        <v>11</v>
      </c>
      <c r="B358" s="103" t="s">
        <v>492</v>
      </c>
      <c r="C358" s="103" t="s">
        <v>424</v>
      </c>
      <c r="D358" s="100">
        <v>346</v>
      </c>
      <c r="E358" s="104" t="s">
        <v>166</v>
      </c>
      <c r="F358" s="105" t="s">
        <v>167</v>
      </c>
      <c r="G358" s="107" t="s">
        <v>271</v>
      </c>
      <c r="H358" s="107" t="s">
        <v>169</v>
      </c>
      <c r="I358" s="106" t="s">
        <v>222</v>
      </c>
      <c r="J358" s="116">
        <v>9</v>
      </c>
      <c r="K358" s="116">
        <v>9</v>
      </c>
      <c r="L358" s="116">
        <v>9</v>
      </c>
      <c r="M358" s="116">
        <v>9</v>
      </c>
      <c r="N358" s="116">
        <f t="shared" si="3"/>
        <v>9</v>
      </c>
      <c r="O358" s="116">
        <v>9</v>
      </c>
      <c r="P358" s="116">
        <v>0</v>
      </c>
    </row>
    <row r="359" spans="1:16" ht="30.6">
      <c r="A359" s="102"/>
      <c r="B359" s="103"/>
      <c r="C359" s="103"/>
      <c r="D359" s="100">
        <v>347</v>
      </c>
      <c r="E359" s="104" t="s">
        <v>166</v>
      </c>
      <c r="F359" s="104" t="s">
        <v>167</v>
      </c>
      <c r="G359" s="107" t="s">
        <v>493</v>
      </c>
      <c r="H359" s="107" t="s">
        <v>175</v>
      </c>
      <c r="I359" s="106" t="s">
        <v>222</v>
      </c>
      <c r="J359" s="116">
        <v>74</v>
      </c>
      <c r="K359" s="116">
        <v>72</v>
      </c>
      <c r="L359" s="116">
        <v>58</v>
      </c>
      <c r="M359" s="116">
        <v>73</v>
      </c>
      <c r="N359" s="116">
        <f t="shared" si="3"/>
        <v>69</v>
      </c>
      <c r="O359" s="116">
        <v>69</v>
      </c>
      <c r="P359" s="116">
        <v>69</v>
      </c>
    </row>
    <row r="360" spans="1:16" ht="40.799999999999997">
      <c r="A360" s="102"/>
      <c r="B360" s="103"/>
      <c r="C360" s="103"/>
      <c r="D360" s="100">
        <v>348</v>
      </c>
      <c r="E360" s="104" t="s">
        <v>341</v>
      </c>
      <c r="F360" s="105" t="s">
        <v>174</v>
      </c>
      <c r="G360" s="107" t="s">
        <v>488</v>
      </c>
      <c r="H360" s="107" t="s">
        <v>175</v>
      </c>
      <c r="I360" s="106" t="s">
        <v>187</v>
      </c>
      <c r="J360" s="116">
        <v>26</v>
      </c>
      <c r="K360" s="116">
        <v>26</v>
      </c>
      <c r="L360" s="116">
        <v>24</v>
      </c>
      <c r="M360" s="116">
        <v>21</v>
      </c>
      <c r="N360" s="116">
        <f t="shared" si="3"/>
        <v>24</v>
      </c>
      <c r="O360" s="116">
        <v>28</v>
      </c>
      <c r="P360" s="116">
        <v>32</v>
      </c>
    </row>
    <row r="361" spans="1:16" ht="30.6">
      <c r="A361" s="102"/>
      <c r="B361" s="103"/>
      <c r="C361" s="103"/>
      <c r="D361" s="100">
        <v>349</v>
      </c>
      <c r="E361" s="104" t="s">
        <v>166</v>
      </c>
      <c r="F361" s="105" t="s">
        <v>167</v>
      </c>
      <c r="G361" s="107" t="s">
        <v>465</v>
      </c>
      <c r="H361" s="107" t="s">
        <v>169</v>
      </c>
      <c r="I361" s="106" t="s">
        <v>187</v>
      </c>
      <c r="J361" s="116">
        <v>0</v>
      </c>
      <c r="K361" s="116">
        <v>0</v>
      </c>
      <c r="L361" s="116">
        <v>0</v>
      </c>
      <c r="M361" s="116">
        <v>0</v>
      </c>
      <c r="N361" s="116">
        <f t="shared" si="3"/>
        <v>0</v>
      </c>
      <c r="O361" s="116">
        <v>0</v>
      </c>
      <c r="P361" s="116">
        <v>8</v>
      </c>
    </row>
    <row r="362" spans="1:16" ht="30.6">
      <c r="A362" s="126"/>
      <c r="B362" s="127"/>
      <c r="C362" s="127"/>
      <c r="D362" s="100">
        <v>350</v>
      </c>
      <c r="E362" s="104" t="s">
        <v>166</v>
      </c>
      <c r="F362" s="105" t="s">
        <v>174</v>
      </c>
      <c r="G362" s="107" t="s">
        <v>465</v>
      </c>
      <c r="H362" s="107" t="s">
        <v>175</v>
      </c>
      <c r="I362" s="106" t="s">
        <v>187</v>
      </c>
      <c r="J362" s="116">
        <v>0</v>
      </c>
      <c r="K362" s="116">
        <v>0</v>
      </c>
      <c r="L362" s="116">
        <v>8</v>
      </c>
      <c r="M362" s="116">
        <v>25</v>
      </c>
      <c r="N362" s="116">
        <f t="shared" si="3"/>
        <v>8</v>
      </c>
      <c r="O362" s="116">
        <v>32</v>
      </c>
      <c r="P362" s="116">
        <v>58</v>
      </c>
    </row>
    <row r="363" spans="1:16" ht="30.6">
      <c r="A363" s="126"/>
      <c r="B363" s="127"/>
      <c r="C363" s="127"/>
      <c r="D363" s="100">
        <v>351</v>
      </c>
      <c r="E363" s="104" t="s">
        <v>166</v>
      </c>
      <c r="F363" s="105" t="s">
        <v>174</v>
      </c>
      <c r="G363" s="107" t="s">
        <v>370</v>
      </c>
      <c r="H363" s="107" t="s">
        <v>175</v>
      </c>
      <c r="I363" s="106" t="s">
        <v>187</v>
      </c>
      <c r="J363" s="116">
        <v>75</v>
      </c>
      <c r="K363" s="116">
        <v>75</v>
      </c>
      <c r="L363" s="116">
        <v>84</v>
      </c>
      <c r="M363" s="116">
        <v>103</v>
      </c>
      <c r="N363" s="116">
        <f t="shared" si="3"/>
        <v>84</v>
      </c>
      <c r="O363" s="116">
        <v>102</v>
      </c>
      <c r="P363" s="116">
        <v>108</v>
      </c>
    </row>
    <row r="364" spans="1:16" ht="30.6">
      <c r="A364" s="126"/>
      <c r="B364" s="127"/>
      <c r="C364" s="127"/>
      <c r="D364" s="100">
        <v>352</v>
      </c>
      <c r="E364" s="104" t="s">
        <v>166</v>
      </c>
      <c r="F364" s="105" t="s">
        <v>174</v>
      </c>
      <c r="G364" s="107" t="s">
        <v>411</v>
      </c>
      <c r="H364" s="107" t="s">
        <v>175</v>
      </c>
      <c r="I364" s="106" t="s">
        <v>321</v>
      </c>
      <c r="J364" s="116">
        <v>0</v>
      </c>
      <c r="K364" s="116">
        <v>0</v>
      </c>
      <c r="L364" s="116">
        <v>7</v>
      </c>
      <c r="M364" s="116">
        <v>23</v>
      </c>
      <c r="N364" s="116">
        <f t="shared" si="3"/>
        <v>8</v>
      </c>
      <c r="O364" s="116">
        <v>36</v>
      </c>
      <c r="P364" s="116">
        <v>54</v>
      </c>
    </row>
    <row r="365" spans="1:16" ht="30.6">
      <c r="A365" s="126"/>
      <c r="B365" s="127"/>
      <c r="C365" s="127"/>
      <c r="D365" s="100">
        <v>353</v>
      </c>
      <c r="E365" s="121" t="s">
        <v>166</v>
      </c>
      <c r="F365" s="128" t="s">
        <v>174</v>
      </c>
      <c r="G365" s="129" t="s">
        <v>357</v>
      </c>
      <c r="H365" s="129" t="s">
        <v>175</v>
      </c>
      <c r="I365" s="130" t="s">
        <v>321</v>
      </c>
      <c r="J365" s="117">
        <v>56</v>
      </c>
      <c r="K365" s="116">
        <v>51</v>
      </c>
      <c r="L365" s="116">
        <v>43</v>
      </c>
      <c r="M365" s="116">
        <v>49</v>
      </c>
      <c r="N365" s="116">
        <f t="shared" si="3"/>
        <v>50</v>
      </c>
      <c r="O365" s="116">
        <v>53</v>
      </c>
      <c r="P365" s="116">
        <v>53</v>
      </c>
    </row>
    <row r="366" spans="1:16" ht="50.25" customHeight="1">
      <c r="B366" s="82"/>
      <c r="C366" s="82"/>
      <c r="D366" s="131">
        <v>354</v>
      </c>
      <c r="E366" s="107" t="s">
        <v>166</v>
      </c>
      <c r="F366" s="107" t="s">
        <v>174</v>
      </c>
      <c r="G366" s="107" t="s">
        <v>357</v>
      </c>
      <c r="H366" s="107" t="s">
        <v>175</v>
      </c>
      <c r="I366" s="107" t="s">
        <v>170</v>
      </c>
      <c r="J366" s="116">
        <f>41-1</f>
        <v>40</v>
      </c>
      <c r="K366" s="116">
        <v>41</v>
      </c>
      <c r="L366" s="116">
        <v>28</v>
      </c>
      <c r="M366" s="116">
        <f>46+1</f>
        <v>47</v>
      </c>
      <c r="N366" s="116">
        <f t="shared" si="3"/>
        <v>39</v>
      </c>
      <c r="O366" s="116">
        <v>38</v>
      </c>
      <c r="P366" s="116">
        <v>38</v>
      </c>
    </row>
    <row r="367" spans="1:16" ht="50.25" customHeight="1">
      <c r="B367" s="82"/>
      <c r="C367" s="82"/>
      <c r="D367" s="100">
        <v>355</v>
      </c>
      <c r="E367" s="115" t="s">
        <v>166</v>
      </c>
      <c r="F367" s="115" t="s">
        <v>167</v>
      </c>
      <c r="G367" s="115" t="s">
        <v>494</v>
      </c>
      <c r="H367" s="115" t="s">
        <v>169</v>
      </c>
      <c r="I367" s="118" t="s">
        <v>261</v>
      </c>
      <c r="J367" s="142">
        <v>30</v>
      </c>
      <c r="K367" s="116">
        <v>30</v>
      </c>
      <c r="L367" s="116">
        <v>30</v>
      </c>
      <c r="M367" s="116">
        <v>45</v>
      </c>
      <c r="N367" s="116">
        <f t="shared" si="3"/>
        <v>34</v>
      </c>
      <c r="O367" s="116">
        <v>45</v>
      </c>
      <c r="P367" s="116">
        <v>37</v>
      </c>
    </row>
    <row r="368" spans="1:16" ht="50.25" customHeight="1">
      <c r="B368" s="82"/>
      <c r="C368" s="82"/>
      <c r="D368" s="100">
        <v>356</v>
      </c>
      <c r="E368" s="107" t="s">
        <v>166</v>
      </c>
      <c r="F368" s="107" t="s">
        <v>174</v>
      </c>
      <c r="G368" s="107" t="s">
        <v>364</v>
      </c>
      <c r="H368" s="107" t="s">
        <v>175</v>
      </c>
      <c r="I368" s="106" t="s">
        <v>179</v>
      </c>
      <c r="J368" s="116">
        <v>0</v>
      </c>
      <c r="K368" s="116">
        <v>0</v>
      </c>
      <c r="L368" s="116">
        <v>6</v>
      </c>
      <c r="M368" s="116">
        <v>25</v>
      </c>
      <c r="N368" s="116">
        <f t="shared" si="3"/>
        <v>8</v>
      </c>
      <c r="O368" s="116">
        <v>8</v>
      </c>
      <c r="P368" s="116">
        <v>8</v>
      </c>
    </row>
    <row r="369" spans="2:16" ht="50.25" customHeight="1">
      <c r="B369" s="82"/>
      <c r="C369" s="82"/>
      <c r="D369" s="99">
        <v>357</v>
      </c>
      <c r="E369" s="129" t="s">
        <v>166</v>
      </c>
      <c r="F369" s="129" t="s">
        <v>174</v>
      </c>
      <c r="G369" s="129" t="s">
        <v>370</v>
      </c>
      <c r="H369" s="129" t="s">
        <v>175</v>
      </c>
      <c r="I369" s="130" t="s">
        <v>185</v>
      </c>
      <c r="J369" s="117">
        <f>78-1</f>
        <v>77</v>
      </c>
      <c r="K369" s="117">
        <v>75</v>
      </c>
      <c r="L369" s="117">
        <v>81</v>
      </c>
      <c r="M369" s="117">
        <f>98+1</f>
        <v>99</v>
      </c>
      <c r="N369" s="117">
        <f t="shared" si="3"/>
        <v>83</v>
      </c>
      <c r="O369" s="117">
        <v>82</v>
      </c>
      <c r="P369" s="117">
        <v>82</v>
      </c>
    </row>
    <row r="370" spans="2:16" ht="50.25" customHeight="1">
      <c r="B370" s="82"/>
      <c r="C370" s="82"/>
      <c r="D370" s="100">
        <v>358</v>
      </c>
      <c r="E370" s="107" t="s">
        <v>166</v>
      </c>
      <c r="F370" s="107" t="s">
        <v>167</v>
      </c>
      <c r="G370" s="107" t="s">
        <v>364</v>
      </c>
      <c r="H370" s="107" t="s">
        <v>169</v>
      </c>
      <c r="I370" s="107" t="s">
        <v>283</v>
      </c>
      <c r="J370" s="116">
        <v>0</v>
      </c>
      <c r="K370" s="116">
        <v>0</v>
      </c>
      <c r="L370" s="116">
        <v>5</v>
      </c>
      <c r="M370" s="116">
        <v>15</v>
      </c>
      <c r="N370" s="116">
        <f t="shared" si="3"/>
        <v>5</v>
      </c>
      <c r="O370" s="116">
        <v>20</v>
      </c>
      <c r="P370" s="116">
        <v>38</v>
      </c>
    </row>
    <row r="371" spans="2:16" ht="50.25" customHeight="1">
      <c r="B371" s="82"/>
      <c r="C371" s="82"/>
      <c r="D371" s="132">
        <v>359</v>
      </c>
      <c r="E371" s="115" t="s">
        <v>166</v>
      </c>
      <c r="F371" s="120" t="s">
        <v>174</v>
      </c>
      <c r="G371" s="133" t="s">
        <v>411</v>
      </c>
      <c r="H371" s="133" t="s">
        <v>175</v>
      </c>
      <c r="I371" s="134" t="s">
        <v>339</v>
      </c>
      <c r="J371" s="142">
        <v>0</v>
      </c>
      <c r="K371" s="142">
        <v>0</v>
      </c>
      <c r="L371" s="142">
        <v>25</v>
      </c>
      <c r="M371" s="142">
        <v>25</v>
      </c>
      <c r="N371" s="142">
        <f t="shared" si="3"/>
        <v>13</v>
      </c>
      <c r="O371" s="142">
        <v>25</v>
      </c>
      <c r="P371" s="142">
        <v>25</v>
      </c>
    </row>
    <row r="372" spans="2:16" ht="50.25" customHeight="1">
      <c r="B372" s="82"/>
      <c r="C372" s="82"/>
      <c r="D372" s="100">
        <v>360</v>
      </c>
      <c r="E372" s="106" t="s">
        <v>166</v>
      </c>
      <c r="F372" s="107" t="s">
        <v>167</v>
      </c>
      <c r="G372" s="107" t="s">
        <v>495</v>
      </c>
      <c r="H372" s="107" t="s">
        <v>175</v>
      </c>
      <c r="I372" s="107" t="s">
        <v>339</v>
      </c>
      <c r="J372" s="116">
        <v>12</v>
      </c>
      <c r="K372" s="116">
        <v>12</v>
      </c>
      <c r="L372" s="116">
        <v>12</v>
      </c>
      <c r="M372" s="116">
        <v>12</v>
      </c>
      <c r="N372" s="116">
        <f t="shared" si="3"/>
        <v>12</v>
      </c>
      <c r="O372" s="116">
        <v>20</v>
      </c>
      <c r="P372" s="116">
        <v>37</v>
      </c>
    </row>
    <row r="373" spans="2:16" ht="50.25" customHeight="1">
      <c r="B373" s="82"/>
      <c r="C373" s="82"/>
      <c r="D373" s="100">
        <v>361</v>
      </c>
      <c r="E373" s="129" t="s">
        <v>166</v>
      </c>
      <c r="F373" s="120" t="s">
        <v>167</v>
      </c>
      <c r="G373" s="133" t="s">
        <v>364</v>
      </c>
      <c r="H373" s="118" t="s">
        <v>169</v>
      </c>
      <c r="I373" s="134" t="s">
        <v>339</v>
      </c>
      <c r="J373" s="116">
        <v>15</v>
      </c>
      <c r="K373" s="116">
        <v>15</v>
      </c>
      <c r="L373" s="116">
        <v>15</v>
      </c>
      <c r="M373" s="116">
        <v>15</v>
      </c>
      <c r="N373" s="116">
        <f t="shared" si="3"/>
        <v>15</v>
      </c>
      <c r="O373" s="116">
        <v>20</v>
      </c>
      <c r="P373" s="116">
        <v>22</v>
      </c>
    </row>
    <row r="374" spans="2:16" ht="30.6">
      <c r="B374" s="82"/>
      <c r="C374" s="82"/>
      <c r="D374" s="100">
        <v>362</v>
      </c>
      <c r="E374" s="107" t="s">
        <v>166</v>
      </c>
      <c r="F374" s="107" t="s">
        <v>174</v>
      </c>
      <c r="G374" s="107" t="s">
        <v>332</v>
      </c>
      <c r="H374" s="107" t="s">
        <v>175</v>
      </c>
      <c r="I374" s="106" t="s">
        <v>333</v>
      </c>
      <c r="J374" s="116">
        <f>59-1</f>
        <v>58</v>
      </c>
      <c r="K374" s="116">
        <f>59-1</f>
        <v>58</v>
      </c>
      <c r="L374" s="116">
        <v>67</v>
      </c>
      <c r="M374" s="116">
        <f>84+1+1</f>
        <v>86</v>
      </c>
      <c r="N374" s="116">
        <f t="shared" si="3"/>
        <v>67</v>
      </c>
      <c r="O374" s="116">
        <v>83</v>
      </c>
      <c r="P374" s="116">
        <v>90</v>
      </c>
    </row>
    <row r="375" spans="2:16" ht="51.75" customHeight="1">
      <c r="B375" s="82"/>
      <c r="C375" s="82"/>
      <c r="D375" s="100">
        <v>363</v>
      </c>
      <c r="E375" s="115" t="s">
        <v>166</v>
      </c>
      <c r="F375" s="115" t="s">
        <v>174</v>
      </c>
      <c r="G375" s="115" t="s">
        <v>496</v>
      </c>
      <c r="H375" s="107" t="s">
        <v>175</v>
      </c>
      <c r="I375" s="118" t="s">
        <v>214</v>
      </c>
      <c r="J375" s="116">
        <v>58</v>
      </c>
      <c r="K375" s="116">
        <v>57</v>
      </c>
      <c r="L375" s="116">
        <v>62</v>
      </c>
      <c r="M375" s="116">
        <v>75</v>
      </c>
      <c r="N375" s="116">
        <f t="shared" si="3"/>
        <v>63</v>
      </c>
      <c r="O375" s="116">
        <v>85</v>
      </c>
      <c r="P375" s="116">
        <v>85</v>
      </c>
    </row>
    <row r="376" spans="2:16" ht="49.5" customHeight="1">
      <c r="B376" s="82"/>
      <c r="C376" s="82"/>
      <c r="D376" s="100">
        <v>364</v>
      </c>
      <c r="E376" s="107" t="s">
        <v>166</v>
      </c>
      <c r="F376" s="107" t="s">
        <v>174</v>
      </c>
      <c r="G376" s="107" t="s">
        <v>497</v>
      </c>
      <c r="H376" s="107" t="s">
        <v>175</v>
      </c>
      <c r="I376" s="106" t="s">
        <v>222</v>
      </c>
      <c r="J376" s="116">
        <v>24</v>
      </c>
      <c r="K376" s="116">
        <v>23</v>
      </c>
      <c r="L376" s="116">
        <v>2</v>
      </c>
      <c r="M376" s="116">
        <v>0</v>
      </c>
      <c r="N376" s="116">
        <f t="shared" si="3"/>
        <v>12</v>
      </c>
      <c r="O376" s="116">
        <v>0</v>
      </c>
      <c r="P376" s="116">
        <v>0</v>
      </c>
    </row>
    <row r="377" spans="2:16" ht="46.5" customHeight="1">
      <c r="B377" s="82"/>
      <c r="C377" s="82"/>
      <c r="D377" s="100">
        <v>365</v>
      </c>
      <c r="E377" s="129" t="s">
        <v>166</v>
      </c>
      <c r="F377" s="129" t="s">
        <v>174</v>
      </c>
      <c r="G377" s="129" t="s">
        <v>498</v>
      </c>
      <c r="H377" s="129" t="s">
        <v>175</v>
      </c>
      <c r="I377" s="130" t="s">
        <v>222</v>
      </c>
      <c r="J377" s="116">
        <f>75-3</f>
        <v>72</v>
      </c>
      <c r="K377" s="116">
        <f>73-2</f>
        <v>71</v>
      </c>
      <c r="L377" s="116">
        <v>79</v>
      </c>
      <c r="M377" s="116">
        <f>95+3+2</f>
        <v>100</v>
      </c>
      <c r="N377" s="116">
        <f t="shared" si="3"/>
        <v>81</v>
      </c>
      <c r="O377" s="116">
        <v>80</v>
      </c>
      <c r="P377" s="116">
        <v>80</v>
      </c>
    </row>
    <row r="378" spans="2:16" ht="46.5" customHeight="1">
      <c r="B378" s="82"/>
      <c r="C378" s="82"/>
      <c r="D378" s="100">
        <v>366</v>
      </c>
      <c r="E378" s="104" t="s">
        <v>341</v>
      </c>
      <c r="F378" s="105" t="s">
        <v>174</v>
      </c>
      <c r="G378" s="107" t="s">
        <v>463</v>
      </c>
      <c r="H378" s="107" t="s">
        <v>175</v>
      </c>
      <c r="I378" s="106" t="s">
        <v>188</v>
      </c>
      <c r="J378" s="116">
        <v>76</v>
      </c>
      <c r="K378" s="116">
        <v>75</v>
      </c>
      <c r="L378" s="116">
        <v>48</v>
      </c>
      <c r="M378" s="116">
        <v>48</v>
      </c>
      <c r="N378" s="116">
        <f t="shared" si="3"/>
        <v>62</v>
      </c>
      <c r="O378" s="116">
        <v>87</v>
      </c>
      <c r="P378" s="116">
        <v>87</v>
      </c>
    </row>
    <row r="379" spans="2:16" ht="46.5" customHeight="1">
      <c r="B379" s="82"/>
      <c r="C379" s="82"/>
      <c r="D379" s="100">
        <v>367</v>
      </c>
      <c r="E379" s="104" t="s">
        <v>166</v>
      </c>
      <c r="F379" s="104" t="s">
        <v>320</v>
      </c>
      <c r="G379" s="107" t="s">
        <v>514</v>
      </c>
      <c r="H379" s="107" t="s">
        <v>175</v>
      </c>
      <c r="I379" s="130" t="s">
        <v>176</v>
      </c>
      <c r="J379" s="116">
        <v>0</v>
      </c>
      <c r="K379" s="116">
        <v>0</v>
      </c>
      <c r="L379" s="116">
        <v>8</v>
      </c>
      <c r="M379" s="116">
        <v>25</v>
      </c>
      <c r="N379" s="116">
        <f t="shared" si="3"/>
        <v>8</v>
      </c>
      <c r="O379" s="116">
        <v>33</v>
      </c>
      <c r="P379" s="116">
        <v>65</v>
      </c>
    </row>
    <row r="380" spans="2:16" ht="46.5" customHeight="1">
      <c r="B380" s="82"/>
      <c r="C380" s="82"/>
      <c r="D380" s="100">
        <v>368</v>
      </c>
      <c r="E380" s="119" t="s">
        <v>166</v>
      </c>
      <c r="F380" s="122" t="s">
        <v>174</v>
      </c>
      <c r="G380" s="115" t="s">
        <v>500</v>
      </c>
      <c r="H380" s="118" t="s">
        <v>175</v>
      </c>
      <c r="I380" s="106" t="s">
        <v>172</v>
      </c>
      <c r="J380" s="116">
        <v>0</v>
      </c>
      <c r="K380" s="116">
        <v>0</v>
      </c>
      <c r="L380" s="116">
        <v>0</v>
      </c>
      <c r="M380" s="116">
        <v>0</v>
      </c>
      <c r="N380" s="116">
        <f t="shared" si="3"/>
        <v>0</v>
      </c>
      <c r="O380" s="116">
        <v>8</v>
      </c>
      <c r="P380" s="116">
        <v>33</v>
      </c>
    </row>
    <row r="381" spans="2:16" ht="46.5" customHeight="1">
      <c r="B381" s="82"/>
      <c r="C381" s="82"/>
      <c r="D381" s="100">
        <v>369</v>
      </c>
      <c r="E381" s="119" t="s">
        <v>166</v>
      </c>
      <c r="F381" s="122" t="s">
        <v>174</v>
      </c>
      <c r="G381" s="115" t="s">
        <v>499</v>
      </c>
      <c r="H381" s="115" t="s">
        <v>175</v>
      </c>
      <c r="I381" s="135" t="s">
        <v>343</v>
      </c>
      <c r="J381" s="116">
        <v>0</v>
      </c>
      <c r="K381" s="116">
        <v>0</v>
      </c>
      <c r="L381" s="116">
        <v>8</v>
      </c>
      <c r="M381" s="116">
        <v>25</v>
      </c>
      <c r="N381" s="116">
        <f t="shared" si="3"/>
        <v>8</v>
      </c>
      <c r="O381" s="116">
        <v>29</v>
      </c>
      <c r="P381" s="116">
        <v>50</v>
      </c>
    </row>
    <row r="382" spans="2:16" ht="30.6">
      <c r="D382" s="100">
        <v>370</v>
      </c>
      <c r="E382" s="107" t="s">
        <v>166</v>
      </c>
      <c r="F382" s="107" t="s">
        <v>167</v>
      </c>
      <c r="G382" s="107" t="s">
        <v>501</v>
      </c>
      <c r="H382" s="106" t="s">
        <v>175</v>
      </c>
      <c r="I382" s="106" t="s">
        <v>222</v>
      </c>
      <c r="J382" s="116">
        <v>0</v>
      </c>
      <c r="K382" s="116">
        <v>0</v>
      </c>
      <c r="L382" s="116">
        <v>5</v>
      </c>
      <c r="M382" s="116">
        <v>15</v>
      </c>
      <c r="N382" s="116">
        <f t="shared" si="3"/>
        <v>5</v>
      </c>
      <c r="O382" s="116">
        <v>15</v>
      </c>
      <c r="P382" s="116">
        <v>15</v>
      </c>
    </row>
    <row r="383" spans="2:16" ht="30.6">
      <c r="D383" s="100">
        <v>371</v>
      </c>
      <c r="E383" s="104" t="s">
        <v>166</v>
      </c>
      <c r="F383" s="105" t="s">
        <v>174</v>
      </c>
      <c r="G383" s="107" t="s">
        <v>465</v>
      </c>
      <c r="H383" s="107" t="s">
        <v>175</v>
      </c>
      <c r="I383" s="106" t="s">
        <v>244</v>
      </c>
      <c r="J383" s="116">
        <f>43+33</f>
        <v>76</v>
      </c>
      <c r="K383" s="169">
        <f>42+28+6</f>
        <v>76</v>
      </c>
      <c r="L383" s="116">
        <v>38</v>
      </c>
      <c r="M383" s="116">
        <f>40-33-6</f>
        <v>1</v>
      </c>
      <c r="N383" s="116">
        <f t="shared" si="3"/>
        <v>48</v>
      </c>
      <c r="O383" s="116">
        <v>41</v>
      </c>
      <c r="P383" s="116">
        <v>41</v>
      </c>
    </row>
    <row r="384" spans="2:16" ht="30.6">
      <c r="D384" s="100">
        <v>372</v>
      </c>
      <c r="E384" s="107" t="s">
        <v>166</v>
      </c>
      <c r="F384" s="107" t="s">
        <v>167</v>
      </c>
      <c r="G384" s="107" t="s">
        <v>498</v>
      </c>
      <c r="H384" s="107" t="s">
        <v>175</v>
      </c>
      <c r="I384" s="106" t="s">
        <v>222</v>
      </c>
      <c r="J384" s="116">
        <f>26-2</f>
        <v>24</v>
      </c>
      <c r="K384" s="116">
        <f>25-1</f>
        <v>24</v>
      </c>
      <c r="L384" s="116">
        <v>24</v>
      </c>
      <c r="M384" s="116">
        <f>23+2+1</f>
        <v>26</v>
      </c>
      <c r="N384" s="116">
        <f t="shared" si="3"/>
        <v>25</v>
      </c>
      <c r="O384" s="116">
        <v>25</v>
      </c>
      <c r="P384" s="116">
        <v>25</v>
      </c>
    </row>
    <row r="385" spans="4:16">
      <c r="D385" s="137"/>
      <c r="E385" s="136"/>
      <c r="F385" s="136"/>
      <c r="G385" s="136"/>
      <c r="H385" s="136"/>
      <c r="I385" s="136"/>
      <c r="J385" s="138"/>
      <c r="K385" s="138"/>
      <c r="L385" s="138"/>
      <c r="M385" s="138"/>
      <c r="N385" s="139"/>
      <c r="O385" s="138"/>
      <c r="P385" s="138"/>
    </row>
    <row r="386" spans="4:16">
      <c r="G386" s="82" t="s">
        <v>502</v>
      </c>
      <c r="N386" s="82" t="s">
        <v>503</v>
      </c>
    </row>
    <row r="390" spans="4:16" hidden="1">
      <c r="J390" s="82">
        <f t="shared" ref="J390:P390" si="4">SUM(J13:J384)</f>
        <v>18135</v>
      </c>
      <c r="K390" s="82">
        <f t="shared" si="4"/>
        <v>17712</v>
      </c>
      <c r="L390" s="82">
        <f t="shared" si="4"/>
        <v>15345</v>
      </c>
      <c r="M390" s="82">
        <f t="shared" si="4"/>
        <v>19059</v>
      </c>
      <c r="N390" s="82">
        <f t="shared" si="4"/>
        <v>17585</v>
      </c>
      <c r="O390" s="82">
        <f t="shared" si="4"/>
        <v>17889</v>
      </c>
      <c r="P390" s="82">
        <f t="shared" si="4"/>
        <v>17903</v>
      </c>
    </row>
    <row r="397" spans="4:16" ht="8.25" customHeight="1"/>
  </sheetData>
  <sheetProtection selectLockedCells="1" selectUnlockedCells="1"/>
  <autoFilter ref="A11:P384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9">
    <mergeCell ref="E9:P9"/>
    <mergeCell ref="A11:A12"/>
    <mergeCell ref="D11:D12"/>
    <mergeCell ref="E11:E12"/>
    <mergeCell ref="F11:F12"/>
    <mergeCell ref="G11:G12"/>
    <mergeCell ref="H11:H12"/>
    <mergeCell ref="I11:I12"/>
    <mergeCell ref="J11:P11"/>
  </mergeCells>
  <pageMargins left="0.78749999999999998" right="0.39374999999999999" top="0.74791666666666667" bottom="0.39374999999999999" header="0.51180555555555551" footer="0.51180555555555551"/>
  <pageSetup paperSize="9" scale="58" firstPageNumber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J19"/>
  <sheetViews>
    <sheetView view="pageBreakPreview" zoomScaleSheetLayoutView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F14" sqref="F14"/>
    </sheetView>
  </sheetViews>
  <sheetFormatPr defaultRowHeight="15.6"/>
  <cols>
    <col min="1" max="1" width="5.109375" style="66" customWidth="1"/>
    <col min="2" max="2" width="63" style="66" customWidth="1"/>
    <col min="3" max="3" width="14.5546875" style="66" customWidth="1"/>
    <col min="4" max="7" width="11.33203125" style="75" customWidth="1"/>
    <col min="8" max="8" width="12.33203125" style="66" customWidth="1"/>
    <col min="9" max="9" width="12.6640625" style="76" customWidth="1"/>
    <col min="10" max="10" width="11.6640625" style="76" customWidth="1"/>
  </cols>
  <sheetData>
    <row r="1" spans="1:10" hidden="1"/>
    <row r="2" spans="1:10">
      <c r="G2" s="1" t="s">
        <v>504</v>
      </c>
    </row>
    <row r="3" spans="1:10" ht="28.5" customHeight="1">
      <c r="A3" s="3" t="s">
        <v>2</v>
      </c>
      <c r="B3" s="3"/>
      <c r="C3" s="3"/>
      <c r="D3" s="3"/>
      <c r="E3" s="3"/>
      <c r="F3" s="49"/>
      <c r="G3" s="1" t="s">
        <v>30</v>
      </c>
      <c r="H3" s="1"/>
      <c r="I3" s="1"/>
      <c r="J3" s="1"/>
    </row>
    <row r="4" spans="1:10" ht="25.5" customHeight="1">
      <c r="A4" s="3"/>
      <c r="B4" s="3"/>
      <c r="C4" s="3"/>
      <c r="D4" s="3"/>
      <c r="E4" s="3"/>
      <c r="F4" s="49"/>
      <c r="G4" s="3" t="s">
        <v>3</v>
      </c>
      <c r="H4" s="1"/>
      <c r="I4" s="1"/>
      <c r="J4" s="1"/>
    </row>
    <row r="5" spans="1:10">
      <c r="A5" s="1"/>
      <c r="B5" s="1"/>
      <c r="C5" s="1"/>
      <c r="D5" s="77"/>
      <c r="E5" s="77"/>
      <c r="F5" s="77"/>
      <c r="G5" s="3" t="s">
        <v>4</v>
      </c>
      <c r="H5" s="5"/>
    </row>
    <row r="6" spans="1:10">
      <c r="A6" s="4"/>
      <c r="B6" s="4"/>
      <c r="C6" s="4"/>
      <c r="D6" s="78"/>
      <c r="E6" s="78"/>
      <c r="F6" s="78"/>
      <c r="G6" s="1" t="s">
        <v>5</v>
      </c>
      <c r="H6" s="5"/>
    </row>
    <row r="7" spans="1:10" ht="31.5" customHeight="1">
      <c r="A7" s="4"/>
      <c r="B7" s="4"/>
      <c r="C7" s="4"/>
      <c r="D7" s="78"/>
      <c r="E7" s="78"/>
      <c r="F7" s="78"/>
      <c r="G7" s="1"/>
      <c r="H7" s="5"/>
    </row>
    <row r="8" spans="1:10" ht="46.5" customHeight="1">
      <c r="A8" s="171" t="s">
        <v>505</v>
      </c>
      <c r="B8" s="171"/>
      <c r="C8" s="171"/>
      <c r="D8" s="171"/>
      <c r="E8" s="171"/>
      <c r="F8" s="171"/>
      <c r="G8" s="171"/>
      <c r="H8" s="171"/>
      <c r="I8" s="171"/>
      <c r="J8" s="171"/>
    </row>
    <row r="9" spans="1:10" ht="15.75" customHeight="1">
      <c r="A9" s="47"/>
      <c r="B9" s="47"/>
      <c r="C9" s="47"/>
      <c r="D9" s="47"/>
      <c r="E9" s="47"/>
      <c r="F9" s="47"/>
      <c r="G9" s="69"/>
      <c r="H9" s="69"/>
      <c r="I9" s="69"/>
      <c r="J9" s="69"/>
    </row>
    <row r="10" spans="1:10" ht="37.5" customHeight="1">
      <c r="A10" s="172" t="s">
        <v>6</v>
      </c>
      <c r="B10" s="172" t="s">
        <v>7</v>
      </c>
      <c r="C10" s="172" t="s">
        <v>506</v>
      </c>
      <c r="D10" s="172" t="s">
        <v>507</v>
      </c>
      <c r="E10" s="172"/>
      <c r="F10" s="172"/>
      <c r="G10" s="172"/>
      <c r="H10" s="172"/>
      <c r="I10" s="172"/>
      <c r="J10" s="172"/>
    </row>
    <row r="11" spans="1:10" ht="31.2">
      <c r="A11" s="172"/>
      <c r="B11" s="172"/>
      <c r="C11" s="172"/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</row>
    <row r="12" spans="1:10" ht="46.8">
      <c r="A12" s="79">
        <v>1</v>
      </c>
      <c r="B12" s="27" t="s">
        <v>508</v>
      </c>
      <c r="C12" s="27" t="s">
        <v>509</v>
      </c>
      <c r="D12" s="24">
        <v>38</v>
      </c>
      <c r="E12" s="24">
        <f>35-35</f>
        <v>0</v>
      </c>
      <c r="F12" s="24">
        <v>25</v>
      </c>
      <c r="G12" s="24">
        <f>50+35</f>
        <v>85</v>
      </c>
      <c r="H12" s="19">
        <f>ROUND((D12+E12+F12+G12)/4,0)</f>
        <v>37</v>
      </c>
      <c r="I12" s="24">
        <v>45</v>
      </c>
      <c r="J12" s="24">
        <v>45</v>
      </c>
    </row>
    <row r="13" spans="1:10" ht="46.8">
      <c r="A13" s="79">
        <v>2</v>
      </c>
      <c r="B13" s="27" t="s">
        <v>510</v>
      </c>
      <c r="C13" s="27" t="s">
        <v>509</v>
      </c>
      <c r="D13" s="55">
        <v>132</v>
      </c>
      <c r="E13" s="55">
        <f>132-132</f>
        <v>0</v>
      </c>
      <c r="F13" s="55">
        <v>178</v>
      </c>
      <c r="G13" s="55">
        <f>178+132</f>
        <v>310</v>
      </c>
      <c r="H13" s="19">
        <f>ROUND((D13+E13+F13+G13)/4,0)</f>
        <v>155</v>
      </c>
      <c r="I13" s="55">
        <v>178</v>
      </c>
      <c r="J13" s="55">
        <v>178</v>
      </c>
    </row>
    <row r="14" spans="1:10" ht="46.8">
      <c r="A14" s="79">
        <v>3</v>
      </c>
      <c r="B14" s="27" t="s">
        <v>510</v>
      </c>
      <c r="C14" s="27" t="s">
        <v>320</v>
      </c>
      <c r="D14" s="55">
        <v>8</v>
      </c>
      <c r="E14" s="55">
        <f>8-8</f>
        <v>0</v>
      </c>
      <c r="F14" s="55">
        <v>14</v>
      </c>
      <c r="G14" s="55">
        <f>14+8</f>
        <v>22</v>
      </c>
      <c r="H14" s="19">
        <f>ROUND((D14+E14+F14+G14)/4,0)</f>
        <v>11</v>
      </c>
      <c r="I14" s="55">
        <v>14</v>
      </c>
      <c r="J14" s="55">
        <v>14</v>
      </c>
    </row>
    <row r="15" spans="1:10" ht="15.75" customHeight="1">
      <c r="A15" s="81"/>
      <c r="B15" s="184" t="s">
        <v>28</v>
      </c>
      <c r="C15" s="184"/>
      <c r="D15" s="24">
        <f>SUM(D12:D14)</f>
        <v>178</v>
      </c>
      <c r="E15" s="24">
        <f>SUM(E12:E14)</f>
        <v>0</v>
      </c>
      <c r="F15" s="24">
        <f>SUM(F12:F14)</f>
        <v>217</v>
      </c>
      <c r="G15" s="24">
        <f>SUM(G12:G14)</f>
        <v>417</v>
      </c>
      <c r="H15" s="19">
        <f>ROUND((D15+E15+F15+G15)/4,0)</f>
        <v>203</v>
      </c>
      <c r="I15" s="21">
        <f>SUM(I12:I14)</f>
        <v>237</v>
      </c>
      <c r="J15" s="21">
        <f>SUM(J12:J14)</f>
        <v>237</v>
      </c>
    </row>
    <row r="19" spans="1:8" s="76" customFormat="1" ht="15.75" customHeight="1">
      <c r="A19" s="178" t="s">
        <v>113</v>
      </c>
      <c r="B19" s="178"/>
      <c r="C19" s="178"/>
      <c r="D19" s="178"/>
      <c r="E19" s="178"/>
      <c r="F19" s="178"/>
      <c r="G19" s="178"/>
      <c r="H19" s="178"/>
    </row>
  </sheetData>
  <sheetProtection selectLockedCells="1" selectUnlockedCells="1"/>
  <mergeCells count="7">
    <mergeCell ref="A19:H19"/>
    <mergeCell ref="A8:J8"/>
    <mergeCell ref="A10:A11"/>
    <mergeCell ref="B10:B11"/>
    <mergeCell ref="C10:C11"/>
    <mergeCell ref="D10:J10"/>
    <mergeCell ref="B15:C15"/>
  </mergeCells>
  <pageMargins left="0.78749999999999998" right="0.39374999999999999" top="0.74791666666666667" bottom="0.39374999999999999" header="0.51180555555555551" footer="0.51180555555555551"/>
  <pageSetup paperSize="9" scale="56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43</vt:i4>
      </vt:variant>
    </vt:vector>
  </HeadingPairs>
  <TitlesOfParts>
    <vt:vector size="50" baseType="lpstr">
      <vt:lpstr>1 ДОШ</vt:lpstr>
      <vt:lpstr>2 НОО</vt:lpstr>
      <vt:lpstr>3 ООО</vt:lpstr>
      <vt:lpstr>4 СОО</vt:lpstr>
      <vt:lpstr>5 СД</vt:lpstr>
      <vt:lpstr>6 СПО </vt:lpstr>
      <vt:lpstr>7 ПиУ</vt:lpstr>
      <vt:lpstr>'2 НОО'!Excel_BuiltIn__FilterDatabase</vt:lpstr>
      <vt:lpstr>'3 ООО'!Excel_BuiltIn__FilterDatabase</vt:lpstr>
      <vt:lpstr>'4 СОО'!Excel_BuiltIn__FilterDatabase</vt:lpstr>
      <vt:lpstr>'6 СПО '!Excel_BuiltIn__FilterDatabase</vt:lpstr>
      <vt:lpstr>'1 ДОШ'!Excel_BuiltIn_Print_Area</vt:lpstr>
      <vt:lpstr>'2 НОО'!Excel_BuiltIn_Print_Area</vt:lpstr>
      <vt:lpstr>'3 ООО'!Excel_BuiltIn_Print_Area</vt:lpstr>
      <vt:lpstr>'4 СОО'!Excel_BuiltIn_Print_Area</vt:lpstr>
      <vt:lpstr>'5 СД'!Excel_BuiltIn_Print_Area</vt:lpstr>
      <vt:lpstr>'6 СПО '!Excel_BuiltIn_Print_Area</vt:lpstr>
      <vt:lpstr>'7 ПиУ'!Excel_BuiltIn_Print_Area</vt:lpstr>
      <vt:lpstr>'2 НОО'!Excel_BuiltIn_Print_Titles</vt:lpstr>
      <vt:lpstr>'3 ООО'!Excel_BuiltIn_Print_Titles</vt:lpstr>
      <vt:lpstr>'4 СОО'!Excel_BuiltIn_Print_Titles</vt:lpstr>
      <vt:lpstr>'5 СД'!Excel_BuiltIn_Print_Titles</vt:lpstr>
      <vt:lpstr>'6 СПО '!Excel_BuiltIn_Print_Titles</vt:lpstr>
      <vt:lpstr>'7 ПиУ'!Excel_BuiltIn_Print_Titles</vt:lpstr>
      <vt:lpstr>'6 СПО '!XDO_?ACTDOMCODE?</vt:lpstr>
      <vt:lpstr>'6 СПО '!XDO_?CSMCTGY_NAME?</vt:lpstr>
      <vt:lpstr>'6 СПО '!XDO_?INST_NAME?</vt:lpstr>
      <vt:lpstr>'6 СПО '!XDO_?NAME_CODE?</vt:lpstr>
      <vt:lpstr>'6 СПО '!XDO_?NAME_NAME?</vt:lpstr>
      <vt:lpstr>'6 СПО '!XDO_?QI_NAME?</vt:lpstr>
      <vt:lpstr>'6 СПО '!XDO_?REGRNUMBER?</vt:lpstr>
      <vt:lpstr>'6 СПО '!XDO_?SC_NAME_1?</vt:lpstr>
      <vt:lpstr>'6 СПО '!XDO_?Service_Belong210FL?</vt:lpstr>
      <vt:lpstr>'6 СПО '!XDO_?Service_NcsrlyBelong210FL?</vt:lpstr>
      <vt:lpstr>'6 СПО '!XDO_?VOLIND_NAME?</vt:lpstr>
      <vt:lpstr>'6 СПО '!XDO_GROUP_?HEADER?</vt:lpstr>
      <vt:lpstr>'6 СПО '!XDO_GROUP_?SERVICE_LIST?</vt:lpstr>
      <vt:lpstr>'2 НОО'!Заголовки_для_печати</vt:lpstr>
      <vt:lpstr>'3 ООО'!Заголовки_для_печати</vt:lpstr>
      <vt:lpstr>'4 СОО'!Заголовки_для_печати</vt:lpstr>
      <vt:lpstr>'5 СД'!Заголовки_для_печати</vt:lpstr>
      <vt:lpstr>'6 СПО '!Заголовки_для_печати</vt:lpstr>
      <vt:lpstr>'7 ПиУ'!Заголовки_для_печати</vt:lpstr>
      <vt:lpstr>'1 ДОШ'!Область_печати</vt:lpstr>
      <vt:lpstr>'2 НОО'!Область_печати</vt:lpstr>
      <vt:lpstr>'3 ООО'!Область_печати</vt:lpstr>
      <vt:lpstr>'4 СОО'!Область_печати</vt:lpstr>
      <vt:lpstr>'5 СД'!Область_печати</vt:lpstr>
      <vt:lpstr>'6 СПО '!Область_печати</vt:lpstr>
      <vt:lpstr>'7 ПиУ'!Область_печати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GB</cp:lastModifiedBy>
  <cp:lastPrinted>2020-07-03T05:35:40Z</cp:lastPrinted>
  <dcterms:created xsi:type="dcterms:W3CDTF">2020-06-07T20:06:45Z</dcterms:created>
  <dcterms:modified xsi:type="dcterms:W3CDTF">2020-07-03T05:36:12Z</dcterms:modified>
</cp:coreProperties>
</file>